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fileSharing readOnlyRecommended="1" userName="Carmela Avolese Moline" algorithmName="SHA-512" hashValue="Lk9IvTDyb0KfJgJkts/ACSLxlV7efKpQzeIr3yR0ONqFuLhdE8OCCVqhW7ed4aRt+aI1QPzyLtcZUOaNpuQd+g==" saltValue="kihu1TYKqpQ5BkzxyyMvCw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IRECCION DE CONTABILIDAD_NE\Reportes a Casa Matriz &amp; EEFF Locales\EEFF Cons &amp; Subs Locales\2018\03 - Mar18\DIVERSOS\EF INTERINO- SUBSIDIARIAS\Valores Banistmo\"/>
    </mc:Choice>
  </mc:AlternateContent>
  <bookViews>
    <workbookView xWindow="-30" yWindow="1500" windowWidth="20730" windowHeight="4335" tabRatio="928" activeTab="3"/>
  </bookViews>
  <sheets>
    <sheet name="Estado de situación financiera" sheetId="1" r:id="rId1"/>
    <sheet name="Estado ganancias o pérdidas" sheetId="2" r:id="rId2"/>
    <sheet name="Patrimonio" sheetId="3" r:id="rId3"/>
    <sheet name="Flujo de efectivo" sheetId="4" r:id="rId4"/>
    <sheet name="HT flujo efectivo" sheetId="5" state="hidden" r:id="rId5"/>
    <sheet name="RESULTADO (2)" sheetId="11" state="hidden" r:id="rId6"/>
    <sheet name="Consolidado" sheetId="6" state="hidden" r:id="rId7"/>
    <sheet name="Anexo-22" sheetId="7" state="hidden" r:id="rId8"/>
    <sheet name="Anexo 37" sheetId="8" state="hidden" r:id="rId9"/>
    <sheet name="Anexo 27" sheetId="9" state="hidden" r:id="rId10"/>
    <sheet name="Hoja1" sheetId="12" state="hidden" r:id="rId11"/>
    <sheet name="mayor jun2016" sheetId="14" state="hidden" r:id="rId12"/>
    <sheet name="compras y ventas" sheetId="13" state="hidden" r:id="rId13"/>
    <sheet name="MOV.INVER" sheetId="15" state="hidden" r:id="rId14"/>
    <sheet name="Hoja2" sheetId="16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226" localSheetId="7">[1]PUC!#REF!</definedName>
    <definedName name="_226" localSheetId="3">[1]PUC!#REF!</definedName>
    <definedName name="_226" localSheetId="2">[1]PUC!#REF!</definedName>
    <definedName name="_226">[2]PUC!#REF!</definedName>
    <definedName name="_236" localSheetId="7">[1]PUC!#REF!</definedName>
    <definedName name="_236" localSheetId="3">[1]PUC!#REF!</definedName>
    <definedName name="_236" localSheetId="2">[1]PUC!#REF!</definedName>
    <definedName name="_236">[2]PUC!#REF!</definedName>
    <definedName name="_515" localSheetId="7">[1]PUC!#REF!</definedName>
    <definedName name="_515" localSheetId="3">[1]PUC!#REF!</definedName>
    <definedName name="_515" localSheetId="2">[1]PUC!#REF!</definedName>
    <definedName name="_515">[2]PUC!#REF!</definedName>
    <definedName name="_563" localSheetId="7">[1]PUC!#REF!</definedName>
    <definedName name="_563" localSheetId="3">[1]PUC!#REF!</definedName>
    <definedName name="_563" localSheetId="2">[1]PUC!#REF!</definedName>
    <definedName name="_563">[2]PUC!#REF!</definedName>
    <definedName name="_568" localSheetId="7">[1]PUC!#REF!</definedName>
    <definedName name="_568" localSheetId="3">[1]PUC!#REF!</definedName>
    <definedName name="_568" localSheetId="2">[1]PUC!#REF!</definedName>
    <definedName name="_568">[2]PUC!#REF!</definedName>
    <definedName name="_702" localSheetId="7">[1]PUC!#REF!</definedName>
    <definedName name="_702" localSheetId="3">[1]PUC!#REF!</definedName>
    <definedName name="_702" localSheetId="2">[1]PUC!#REF!</definedName>
    <definedName name="_702">[2]PUC!#REF!</definedName>
    <definedName name="_704" localSheetId="7">[1]PUC!#REF!</definedName>
    <definedName name="_704" localSheetId="3">[1]PUC!#REF!</definedName>
    <definedName name="_704" localSheetId="2">[1]PUC!#REF!</definedName>
    <definedName name="_704">[2]PUC!#REF!</definedName>
    <definedName name="_726" localSheetId="7">[1]PUC!#REF!</definedName>
    <definedName name="_726" localSheetId="3">[1]PUC!#REF!</definedName>
    <definedName name="_726" localSheetId="2">[1]PUC!#REF!</definedName>
    <definedName name="_726">[2]PUC!#REF!</definedName>
    <definedName name="_728" localSheetId="7">[1]PUC!#REF!</definedName>
    <definedName name="_728" localSheetId="3">[1]PUC!#REF!</definedName>
    <definedName name="_728" localSheetId="2">[1]PUC!#REF!</definedName>
    <definedName name="_728">[2]PUC!#REF!</definedName>
    <definedName name="_xlnm._FilterDatabase" localSheetId="12" hidden="1">'compras y ventas'!$A$7:$WWD$7</definedName>
    <definedName name="_xlnm._FilterDatabase" localSheetId="13" hidden="1">MOV.INVER!$A$1:$X$704</definedName>
    <definedName name="_Order1" hidden="1">0</definedName>
    <definedName name="_Order2" hidden="1">0</definedName>
    <definedName name="a" localSheetId="7">#REF!</definedName>
    <definedName name="a" localSheetId="3">#REF!</definedName>
    <definedName name="a">#REF!</definedName>
    <definedName name="A_40" localSheetId="7">#REF!</definedName>
    <definedName name="A_40" localSheetId="3">#REF!</definedName>
    <definedName name="A_40" localSheetId="2">#REF!</definedName>
    <definedName name="A_40">#REF!</definedName>
    <definedName name="AAAA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7">#REF!</definedName>
    <definedName name="Abril2000" localSheetId="3">#REF!</definedName>
    <definedName name="Abril2000" localSheetId="2">#REF!</definedName>
    <definedName name="Abril2000">#REF!</definedName>
    <definedName name="Abril2001" localSheetId="7">#REF!</definedName>
    <definedName name="Abril2001" localSheetId="3">#REF!</definedName>
    <definedName name="Abril2001" localSheetId="2">#REF!</definedName>
    <definedName name="Abril2001">#REF!</definedName>
    <definedName name="Abril2002" localSheetId="7">#REF!</definedName>
    <definedName name="Abril2002" localSheetId="3">#REF!</definedName>
    <definedName name="Abril2002" localSheetId="2">#REF!</definedName>
    <definedName name="Abril2002">#REF!</definedName>
    <definedName name="Abril2003" localSheetId="7">#REF!</definedName>
    <definedName name="Abril2003" localSheetId="3">#REF!</definedName>
    <definedName name="Abril2003" localSheetId="2">#REF!</definedName>
    <definedName name="Abril2003">#REF!</definedName>
    <definedName name="Abril2004" localSheetId="7">#REF!</definedName>
    <definedName name="Abril2004" localSheetId="3">#REF!</definedName>
    <definedName name="Abril2004" localSheetId="2">#REF!</definedName>
    <definedName name="Abril2004">#REF!</definedName>
    <definedName name="ACC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7">#REF!</definedName>
    <definedName name="ACUMULADO" localSheetId="3">#REF!</definedName>
    <definedName name="ACUMULADO" localSheetId="2">#REF!</definedName>
    <definedName name="ACUMULADO">#REF!</definedName>
    <definedName name="Agosto2000" localSheetId="7">#REF!</definedName>
    <definedName name="Agosto2000" localSheetId="3">#REF!</definedName>
    <definedName name="Agosto2000" localSheetId="2">#REF!</definedName>
    <definedName name="Agosto2000">#REF!</definedName>
    <definedName name="Agosto2001" localSheetId="7">#REF!</definedName>
    <definedName name="Agosto2001" localSheetId="3">#REF!</definedName>
    <definedName name="Agosto2001" localSheetId="2">#REF!</definedName>
    <definedName name="Agosto2001">#REF!</definedName>
    <definedName name="Agosto2002" localSheetId="7">#REF!</definedName>
    <definedName name="Agosto2002" localSheetId="3">#REF!</definedName>
    <definedName name="Agosto2002" localSheetId="2">#REF!</definedName>
    <definedName name="Agosto2002">#REF!</definedName>
    <definedName name="Agosto2003" localSheetId="7">#REF!</definedName>
    <definedName name="Agosto2003" localSheetId="3">#REF!</definedName>
    <definedName name="Agosto2003" localSheetId="2">#REF!</definedName>
    <definedName name="Agosto2003">#REF!</definedName>
    <definedName name="Agosto2004" localSheetId="7">#REF!</definedName>
    <definedName name="Agosto2004" localSheetId="3">#REF!</definedName>
    <definedName name="Agosto2004" localSheetId="2">#REF!</definedName>
    <definedName name="Agosto2004">#REF!</definedName>
    <definedName name="AÑO2000" localSheetId="7">#REF!</definedName>
    <definedName name="AÑO2000" localSheetId="3">#REF!</definedName>
    <definedName name="AÑO2000" localSheetId="2">#REF!</definedName>
    <definedName name="AÑO2000">#REF!</definedName>
    <definedName name="AÑO2001" localSheetId="7">#REF!</definedName>
    <definedName name="AÑO2001" localSheetId="3">#REF!</definedName>
    <definedName name="AÑO2001" localSheetId="2">#REF!</definedName>
    <definedName name="AÑO2001">#REF!</definedName>
    <definedName name="AÑO2002" localSheetId="7">#REF!</definedName>
    <definedName name="AÑO2002" localSheetId="3">#REF!</definedName>
    <definedName name="AÑO2002" localSheetId="2">#REF!</definedName>
    <definedName name="AÑO2002">#REF!</definedName>
    <definedName name="_xlnm.Print_Area" localSheetId="9">'Anexo 27'!$A$1:$C$62</definedName>
    <definedName name="_xlnm.Print_Area" localSheetId="7">'Anexo-22'!$A$1:$C$54</definedName>
    <definedName name="_xlnm.Print_Area" localSheetId="6">Consolidado!$A$1:$J$207</definedName>
    <definedName name="_xlnm.Print_Area" localSheetId="0">'Estado de situación financiera'!$A$1:$K$46</definedName>
    <definedName name="_xlnm.Print_Area" localSheetId="1">'Estado ganancias o pérdidas'!$A$1:$P$61</definedName>
    <definedName name="_xlnm.Print_Area" localSheetId="3">'Flujo de efectivo'!$A$1:$F$58</definedName>
    <definedName name="_xlnm.Print_Area" localSheetId="2">Patrimonio!$A$1:$P$40</definedName>
    <definedName name="Arrendamientos" localSheetId="7">#REF!</definedName>
    <definedName name="Arrendamientos" localSheetId="3">#REF!</definedName>
    <definedName name="Arrendamientos" localSheetId="2">#REF!</definedName>
    <definedName name="Arrendamientos">#REF!</definedName>
    <definedName name="AT" localSheetId="7">#REF!</definedName>
    <definedName name="AT" localSheetId="3">#REF!</definedName>
    <definedName name="AT">#REF!</definedName>
    <definedName name="B" localSheetId="7">#REF!</definedName>
    <definedName name="B" localSheetId="3">#REF!</definedName>
    <definedName name="B">#REF!</definedName>
    <definedName name="Banco" localSheetId="7">#REF!</definedName>
    <definedName name="Banco" localSheetId="3">#REF!</definedName>
    <definedName name="Banco" localSheetId="2">#REF!</definedName>
    <definedName name="Banco">#REF!</definedName>
    <definedName name="BBBB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7">OFFSET(#REF!,0,0,COUNTA(#REF!),COUNTA(#REF!))</definedName>
    <definedName name="bdINV" localSheetId="3">OFFSET(#REF!,0,0,COUNTA(#REF!),COUNTA(#REF!))</definedName>
    <definedName name="bdINV" localSheetId="2">OFFSET(#REF!,0,0,COUNTA(#REF!),COUNTA(#REF!))</definedName>
    <definedName name="bdINV">OFFSET(#REF!,0,0,COUNTA(#REF!),COUNTA(#REF!))</definedName>
    <definedName name="BNBKB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7">#REF!</definedName>
    <definedName name="BUDGET" localSheetId="3">#REF!</definedName>
    <definedName name="BUDGET">#REF!</definedName>
    <definedName name="C_ACUM" localSheetId="7">#REF!</definedName>
    <definedName name="C_ACUM" localSheetId="3">#REF!</definedName>
    <definedName name="C_ACUM" localSheetId="2">#REF!</definedName>
    <definedName name="C_ACUM">#REF!</definedName>
    <definedName name="C_ANT" localSheetId="7">#REF!</definedName>
    <definedName name="C_ANT" localSheetId="3">#REF!</definedName>
    <definedName name="C_ANT" localSheetId="2">#REF!</definedName>
    <definedName name="C_ANT">#REF!</definedName>
    <definedName name="C_MES" localSheetId="7">#REF!</definedName>
    <definedName name="C_MES" localSheetId="3">#REF!</definedName>
    <definedName name="C_MES" localSheetId="2">#REF!</definedName>
    <definedName name="C_MES">#REF!</definedName>
    <definedName name="Cabex" localSheetId="7">#REF!</definedName>
    <definedName name="Cabex" localSheetId="3">#REF!</definedName>
    <definedName name="Cabex" localSheetId="2">#REF!</definedName>
    <definedName name="Cabex">#REF!</definedName>
    <definedName name="Ccbal">[3]Ccbal!$B$2:$D$50</definedName>
    <definedName name="CCCCCC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[4]Parámetros!$A$2</definedName>
    <definedName name="Clasific" localSheetId="3">OFFSET([4]Parámetros!$W$1,0,0,COUNTA([4]Parámetros!$W$1:$W$65536),5)</definedName>
    <definedName name="Clasific" localSheetId="2">OFFSET([4]Parámetros!$W$1,0,0,COUNTA([4]Parámetros!$W$1:$W$65536),5)</definedName>
    <definedName name="Clasific">OFFSET([4]Parámetros!$W$1,0,0,COUNTA([4]Parámetros!$W$1:$W$65536),5)</definedName>
    <definedName name="CODIGO_MAR" localSheetId="7">#REF!</definedName>
    <definedName name="CODIGO_MAR" localSheetId="3">#REF!</definedName>
    <definedName name="CODIGO_MAR" localSheetId="2">#REF!</definedName>
    <definedName name="CODIGO_MAR">#REF!</definedName>
    <definedName name="CODIGO_SAR" localSheetId="7">#REF!</definedName>
    <definedName name="CODIGO_SAR" localSheetId="3">#REF!</definedName>
    <definedName name="CODIGO_SAR" localSheetId="2">#REF!</definedName>
    <definedName name="CODIGO_SAR">#REF!</definedName>
    <definedName name="colJueves">[5]Captados!$AH$17:$AN$31,[5]Captados!$AH$36:$AN$51,[5]Captados!$AH$53:$AN$57,[5]Captados!$AH$61:$AN$69,[5]Captados!$AH$73:$AN$76</definedName>
    <definedName name="colLunes">[5]Captados!$M$17:$S$31,[5]Captados!$M$36:$S$51,[5]Captados!$M$53:$S$57,[5]Captados!$M$61:$S$69,[5]Captados!$M$73:$S$76</definedName>
    <definedName name="colMartes">[5]Captados!$T$17:$Z$31,[5]Captados!$T$36:$Z$51,[5]Captados!$T$53:$Z$57,[5]Captados!$T$61:$Z$69,[5]Captados!$T$73:$Z$76</definedName>
    <definedName name="colMiercoles">[5]Captados!$AA$17:$AG$31,[5]Captados!$AA$36:$AG$51,[5]Captados!$AA$53:$AG$57,[5]Captados!$AA$61:$AG$69,[5]Captados!$AA$73:$AG$76</definedName>
    <definedName name="colViernes">[5]Captados!$AO$17:$AU$31,[5]Captados!$AO$36:$AU$51,[5]Captados!$AO$53:$AU$57,[5]Captados!$AO$61:$AU$69,[5]Captados!$AO$73:$AU$76</definedName>
    <definedName name="COMP.ANUAL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7">#REF!</definedName>
    <definedName name="Corporacion" localSheetId="3">#REF!</definedName>
    <definedName name="Corporacion" localSheetId="2">#REF!</definedName>
    <definedName name="Corporacion">#REF!</definedName>
    <definedName name="CORTE">[6]Parámetros!$A$2</definedName>
    <definedName name="CtaContGarant" localSheetId="3">OFFSET([4]Parámetros!$K$1,0,0,COUNTA([4]Parámetros!$K$1:$K$65536),5)</definedName>
    <definedName name="CtaContGarant" localSheetId="2">OFFSET([4]Parámetros!$K$1,0,0,COUNTA([4]Parámetros!$K$1:$K$65536),5)</definedName>
    <definedName name="CtaContGarant">OFFSET([4]Parámetros!$K$1,0,0,COUNTA([4]Parámetros!$K$1:$K$65536),5)</definedName>
    <definedName name="CtaContIntAc" localSheetId="3">OFFSET([4]Parámetros!$Q$1,0,0,COUNTA([4]Parámetros!$Q$1:$Q$65536),5)</definedName>
    <definedName name="CtaContIntAc" localSheetId="2">OFFSET([4]Parámetros!$Q$1,0,0,COUNTA([4]Parámetros!$Q$1:$Q$65536),5)</definedName>
    <definedName name="CtaContIntAc">OFFSET([4]Parámetros!$Q$1,0,0,COUNTA([4]Parámetros!$Q$1:$Q$65536),5)</definedName>
    <definedName name="CtaContPrinc" localSheetId="3">OFFSET([4]Parámetros!$E$1,0,0,COUNTA([4]Parámetros!$E$1:$E$65536),5)</definedName>
    <definedName name="CtaContPrinc" localSheetId="2">OFFSET([4]Parámetros!$E$1,0,0,COUNTA([4]Parámetros!$E$1:$E$65536),5)</definedName>
    <definedName name="CtaContPrinc">OFFSET([4]Parámetros!$E$1,0,0,COUNTA([4]Parámetros!$E$1:$E$65536),5)</definedName>
    <definedName name="Cuentas" localSheetId="7">#REF!</definedName>
    <definedName name="Cuentas" localSheetId="3">#REF!</definedName>
    <definedName name="Cuentas" localSheetId="2">#REF!</definedName>
    <definedName name="Cuentas">#REF!</definedName>
    <definedName name="Cust_ACUM" localSheetId="7">#REF!</definedName>
    <definedName name="Cust_ACUM" localSheetId="3">#REF!</definedName>
    <definedName name="Cust_ACUM" localSheetId="2">#REF!</definedName>
    <definedName name="Cust_ACUM">#REF!</definedName>
    <definedName name="Cust_ANT" localSheetId="7">#REF!</definedName>
    <definedName name="Cust_ANT" localSheetId="3">#REF!</definedName>
    <definedName name="Cust_ANT" localSheetId="2">#REF!</definedName>
    <definedName name="Cust_ANT">#REF!</definedName>
    <definedName name="Cust_MES" localSheetId="7">#REF!</definedName>
    <definedName name="Cust_MES" localSheetId="3">#REF!</definedName>
    <definedName name="Cust_MES" localSheetId="2">#REF!</definedName>
    <definedName name="Cust_MES">#REF!</definedName>
    <definedName name="DATOS" localSheetId="7">#REF!</definedName>
    <definedName name="DATOS" localSheetId="3">#REF!</definedName>
    <definedName name="DATOS">#REF!</definedName>
    <definedName name="def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7">#REF!</definedName>
    <definedName name="Descripcion" localSheetId="3">#REF!</definedName>
    <definedName name="Descripcion" localSheetId="2">#REF!</definedName>
    <definedName name="Descripcion">#REF!</definedName>
    <definedName name="detventaauditado" localSheetId="7">#REF!</definedName>
    <definedName name="detventaauditado" localSheetId="3">#REF!</definedName>
    <definedName name="detventaauditado">#REF!</definedName>
    <definedName name="DETVENTAAUDITAS" localSheetId="7">#REF!</definedName>
    <definedName name="DETVENTAAUDITAS" localSheetId="3">#REF!</definedName>
    <definedName name="DETVENTAAUDITAS">#REF!</definedName>
    <definedName name="dic" localSheetId="7">#REF!</definedName>
    <definedName name="dic" localSheetId="3">#REF!</definedName>
    <definedName name="dic">#REF!</definedName>
    <definedName name="Diciembr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7">#REF!</definedName>
    <definedName name="Diciembre1989" localSheetId="3">#REF!</definedName>
    <definedName name="Diciembre1989" localSheetId="2">#REF!</definedName>
    <definedName name="Diciembre1989">#REF!</definedName>
    <definedName name="Diciembre1990" localSheetId="7">#REF!</definedName>
    <definedName name="Diciembre1990" localSheetId="3">#REF!</definedName>
    <definedName name="Diciembre1990" localSheetId="2">#REF!</definedName>
    <definedName name="Diciembre1990">#REF!</definedName>
    <definedName name="Diciembre1991" localSheetId="7">#REF!</definedName>
    <definedName name="Diciembre1991" localSheetId="3">#REF!</definedName>
    <definedName name="Diciembre1991" localSheetId="2">#REF!</definedName>
    <definedName name="Diciembre1991">#REF!</definedName>
    <definedName name="Diciembre1992" localSheetId="7">#REF!</definedName>
    <definedName name="Diciembre1992" localSheetId="3">#REF!</definedName>
    <definedName name="Diciembre1992" localSheetId="2">#REF!</definedName>
    <definedName name="Diciembre1992">#REF!</definedName>
    <definedName name="Diciembre1993" localSheetId="7">#REF!</definedName>
    <definedName name="Diciembre1993" localSheetId="3">#REF!</definedName>
    <definedName name="Diciembre1993" localSheetId="2">#REF!</definedName>
    <definedName name="Diciembre1993">#REF!</definedName>
    <definedName name="Diciembre1994" localSheetId="7">#REF!</definedName>
    <definedName name="Diciembre1994" localSheetId="3">#REF!</definedName>
    <definedName name="Diciembre1994" localSheetId="2">#REF!</definedName>
    <definedName name="Diciembre1994">#REF!</definedName>
    <definedName name="Diciembre1995" localSheetId="7">#REF!</definedName>
    <definedName name="Diciembre1995" localSheetId="3">#REF!</definedName>
    <definedName name="Diciembre1995" localSheetId="2">#REF!</definedName>
    <definedName name="Diciembre1995">#REF!</definedName>
    <definedName name="Diciembre1996" localSheetId="7">#REF!</definedName>
    <definedName name="Diciembre1996" localSheetId="3">#REF!</definedName>
    <definedName name="Diciembre1996" localSheetId="2">#REF!</definedName>
    <definedName name="Diciembre1996">#REF!</definedName>
    <definedName name="Diciembre1997" localSheetId="7">#REF!</definedName>
    <definedName name="Diciembre1997" localSheetId="3">#REF!</definedName>
    <definedName name="Diciembre1997" localSheetId="2">#REF!</definedName>
    <definedName name="Diciembre1997">#REF!</definedName>
    <definedName name="Diciembre1998" localSheetId="7">#REF!</definedName>
    <definedName name="Diciembre1998" localSheetId="3">#REF!</definedName>
    <definedName name="Diciembre1998" localSheetId="2">#REF!</definedName>
    <definedName name="Diciembre1998">#REF!</definedName>
    <definedName name="Diciembre1999" localSheetId="7">#REF!</definedName>
    <definedName name="Diciembre1999" localSheetId="3">#REF!</definedName>
    <definedName name="Diciembre1999" localSheetId="2">#REF!</definedName>
    <definedName name="Diciembre1999">#REF!</definedName>
    <definedName name="Diciembre2000" localSheetId="7">#REF!</definedName>
    <definedName name="Diciembre2000" localSheetId="3">#REF!</definedName>
    <definedName name="Diciembre2000" localSheetId="2">#REF!</definedName>
    <definedName name="Diciembre2000">#REF!</definedName>
    <definedName name="Diciembre2001" localSheetId="7">#REF!</definedName>
    <definedName name="Diciembre2001" localSheetId="3">#REF!</definedName>
    <definedName name="Diciembre2001" localSheetId="2">#REF!</definedName>
    <definedName name="Diciembre2001">#REF!</definedName>
    <definedName name="Diciembre2002" localSheetId="7">#REF!</definedName>
    <definedName name="Diciembre2002" localSheetId="3">#REF!</definedName>
    <definedName name="Diciembre2002" localSheetId="2">#REF!</definedName>
    <definedName name="Diciembre2002">#REF!</definedName>
    <definedName name="Diciembre2003" localSheetId="7">#REF!</definedName>
    <definedName name="Diciembre2003" localSheetId="3">#REF!</definedName>
    <definedName name="Diciembre2003" localSheetId="2">#REF!</definedName>
    <definedName name="Diciembre2003">#REF!</definedName>
    <definedName name="Diciembre2004" localSheetId="7">#REF!</definedName>
    <definedName name="Diciembre2004" localSheetId="3">#REF!</definedName>
    <definedName name="Diciembre2004" localSheetId="2">#REF!</definedName>
    <definedName name="Diciembre2004">#REF!</definedName>
    <definedName name="dolJueves">[5]Captados!$AH$151:$AN$165,[5]Captados!$AH$170:$AN$185,[5]Captados!$AH$187:$AN$191,[5]Captados!$AH$195:$AN$203,[5]Captados!$AH$207:$AN$210</definedName>
    <definedName name="dolLunes">[5]Captados!$M$151:$S$165,[5]Captados!$M$170:$S$185,[5]Captados!$M$187:$S$191,[5]Captados!$M$195:$S$203,[5]Captados!$M$207:$S$210</definedName>
    <definedName name="dolMartes">[5]Captados!$T$151:$Z$165,[5]Captados!$T$170:$Z$185,[5]Captados!$T$187:$Z$191,[5]Captados!$T$195:$Z$203,[5]Captados!$T$207:$Z$210</definedName>
    <definedName name="dolMiercoles">[5]Captados!$AA$151:$AG$165,[5]Captados!$AA$170:$AG$185,[5]Captados!$AA$187:$AG$191,[5]Captados!$AA$195:$AG$203,[5]Captados!$AA$207:$AG$210</definedName>
    <definedName name="dolViernes">[5]Captados!$AO$151:$AU$165,[5]Captados!$AO$170:$AU$185,[5]Captados!$AO$187:$AU$191,[5]Captados!$AO$195:$AU$203,[5]Captados!$AO$207:$AU$210</definedName>
    <definedName name="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7">#REF!</definedName>
    <definedName name="encaje" localSheetId="3">#REF!</definedName>
    <definedName name="encaje">#REF!</definedName>
    <definedName name="en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7">#REF!</definedName>
    <definedName name="Enero2000" localSheetId="3">#REF!</definedName>
    <definedName name="Enero2000" localSheetId="2">#REF!</definedName>
    <definedName name="Enero2000">#REF!</definedName>
    <definedName name="Enero2001" localSheetId="7">#REF!</definedName>
    <definedName name="Enero2001" localSheetId="3">#REF!</definedName>
    <definedName name="Enero2001" localSheetId="2">#REF!</definedName>
    <definedName name="Enero2001">#REF!</definedName>
    <definedName name="Enero2002" localSheetId="7">#REF!</definedName>
    <definedName name="Enero2002" localSheetId="3">#REF!</definedName>
    <definedName name="Enero2002" localSheetId="2">#REF!</definedName>
    <definedName name="Enero2002">#REF!</definedName>
    <definedName name="Enero2003" localSheetId="7">#REF!</definedName>
    <definedName name="Enero2003" localSheetId="3">#REF!</definedName>
    <definedName name="Enero2003" localSheetId="2">#REF!</definedName>
    <definedName name="Enero2003">#REF!</definedName>
    <definedName name="Enero2004" localSheetId="7">#REF!</definedName>
    <definedName name="Enero2004" localSheetId="3">#REF!</definedName>
    <definedName name="Enero2004" localSheetId="2">#REF!</definedName>
    <definedName name="Enero2004">#REF!</definedName>
    <definedName name="Enero2005" localSheetId="7">#REF!</definedName>
    <definedName name="Enero2005" localSheetId="3">#REF!</definedName>
    <definedName name="Enero2005" localSheetId="2">#REF!</definedName>
    <definedName name="Enero2005">#REF!</definedName>
    <definedName name="ENTIDAD" localSheetId="7">#REF!</definedName>
    <definedName name="ENTIDAD" localSheetId="3">#REF!</definedName>
    <definedName name="ENTIDAD">#REF!</definedName>
    <definedName name="entidades">[5]Parámetros!$A$4:$B$27</definedName>
    <definedName name="ER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7">#REF!</definedName>
    <definedName name="ER_ACUM" localSheetId="3">#REF!</definedName>
    <definedName name="ER_ACUM" localSheetId="2">#REF!</definedName>
    <definedName name="ER_ACUM">#REF!</definedName>
    <definedName name="ER_ACUM2" localSheetId="7">#REF!</definedName>
    <definedName name="ER_ACUM2" localSheetId="3">#REF!</definedName>
    <definedName name="ER_ACUM2" localSheetId="2">#REF!</definedName>
    <definedName name="ER_ACUM2">#REF!</definedName>
    <definedName name="ER_MES" localSheetId="7">#REF!</definedName>
    <definedName name="ER_MES" localSheetId="3">#REF!</definedName>
    <definedName name="ER_MES" localSheetId="2">#REF!</definedName>
    <definedName name="ER_MES">#REF!</definedName>
    <definedName name="ER_MES2" localSheetId="7">#REF!</definedName>
    <definedName name="ER_MES2" localSheetId="3">#REF!</definedName>
    <definedName name="ER_MES2" localSheetId="2">#REF!</definedName>
    <definedName name="ER_MES2">#REF!</definedName>
    <definedName name="ERDI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7">#REF!</definedName>
    <definedName name="ESTADO" localSheetId="3">#REF!</definedName>
    <definedName name="ESTADO">#REF!</definedName>
    <definedName name="Estatus" localSheetId="7">#REF!</definedName>
    <definedName name="Estatus" localSheetId="3">#REF!</definedName>
    <definedName name="Estatus">#REF!</definedName>
    <definedName name="eurodolJueves">[5]Captados!$AH$287:$AN$301,[5]Captados!$AH$306:$AN$321,[5]Captados!$AH$323:$AN$327,[5]Captados!$AH$331:$AN$339,[5]Captados!$AH$343:$AN$346</definedName>
    <definedName name="eurodolLunes">[5]Captados!$M$287:$S$301,[5]Captados!$M$306:$S$321,[5]Captados!$M$323:$S$327,[5]Captados!$M$331:$S$339,[5]Captados!$M$343:$S$346</definedName>
    <definedName name="eurodolMartes">[5]Captados!$T$287:$Z$301,[5]Captados!$T$306:$Z$321,[5]Captados!$T$323:$Z$327,[5]Captados!$T$331:$Z$339,[5]Captados!$T$343:$Z$346</definedName>
    <definedName name="eurodolMiercoles">[5]Captados!$AA$287:$AG$301,[5]Captados!$AA$306:$AG$321,[5]Captados!$AA$323:$AG$327,[5]Captados!$AA$331:$AG$339,[5]Captados!$AA$343:$AG$346</definedName>
    <definedName name="eurodolViernes">[5]Captados!$AO$287:$AU$301,[5]Captados!$AO$306:$AU$321,[5]Captados!$AO$323:$AU$327,[5]Captados!$AO$331:$AU$339,[5]Captados!$AO$343:$AU$346</definedName>
    <definedName name="euroJueves">[5]Captados!$AH$219:$AN$233,[5]Captados!$AH$238:$AN$253,[5]Captados!$AH$255:$AN$259,[5]Captados!$AH$263:$AN$271,[5]Captados!$AH$275:$AN$278</definedName>
    <definedName name="euroLunes">[5]Captados!$M$219:$S$233,[5]Captados!$M$238:$S$253,[5]Captados!$M$255:$S$259,[5]Captados!$M$263:$S$271,[5]Captados!$M$275:$S$278</definedName>
    <definedName name="euroMartes">[5]Captados!$T$219:$Z$233,[5]Captados!$T$238:$Z$253,[5]Captados!$T$255:$Z$259,[5]Captados!$T$263:$Z$271,[5]Captados!$T$275:$Z$278</definedName>
    <definedName name="euroMiercoles">[5]Captados!$AA$219:$AG$233,[5]Captados!$AA$238:$AG$253,[5]Captados!$AA$255:$AG$259,[5]Captados!$AA$263:$AG$271,[5]Captados!$AA$275:$AG$278</definedName>
    <definedName name="euroViernes">[5]Captados!$AO$219:$AU$233,[5]Captados!$AO$238:$AU$253,[5]Captados!$AO$255:$AU$259,[5]Captados!$AO$263:$AU$271,[5]Captados!$AO$275:$AU$278</definedName>
    <definedName name="fe_ACUM" localSheetId="7">#REF!</definedName>
    <definedName name="fe_ACUM" localSheetId="3">#REF!</definedName>
    <definedName name="fe_ACUM" localSheetId="2">#REF!</definedName>
    <definedName name="fe_ACUM">#REF!</definedName>
    <definedName name="fe_MES" localSheetId="7">#REF!</definedName>
    <definedName name="fe_MES" localSheetId="3">#REF!</definedName>
    <definedName name="fe_MES" localSheetId="2">#REF!</definedName>
    <definedName name="fe_MES">#REF!</definedName>
    <definedName name="FEB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7">#REF!</definedName>
    <definedName name="Febrero2000" localSheetId="3">#REF!</definedName>
    <definedName name="Febrero2000" localSheetId="2">#REF!</definedName>
    <definedName name="Febrero2000">#REF!</definedName>
    <definedName name="Febrero2001" localSheetId="7">#REF!</definedName>
    <definedName name="Febrero2001" localSheetId="3">#REF!</definedName>
    <definedName name="Febrero2001" localSheetId="2">#REF!</definedName>
    <definedName name="Febrero2001">#REF!</definedName>
    <definedName name="Febrero2002" localSheetId="7">#REF!</definedName>
    <definedName name="Febrero2002" localSheetId="3">#REF!</definedName>
    <definedName name="Febrero2002" localSheetId="2">#REF!</definedName>
    <definedName name="Febrero2002">#REF!</definedName>
    <definedName name="Febrero2003" localSheetId="7">#REF!</definedName>
    <definedName name="Febrero2003" localSheetId="3">#REF!</definedName>
    <definedName name="Febrero2003" localSheetId="2">#REF!</definedName>
    <definedName name="Febrero2003">#REF!</definedName>
    <definedName name="Febrero2004" localSheetId="7">#REF!</definedName>
    <definedName name="Febrero2004" localSheetId="3">#REF!</definedName>
    <definedName name="Febrero2004" localSheetId="2">#REF!</definedName>
    <definedName name="Febrero2004">#REF!</definedName>
    <definedName name="Fecha" localSheetId="7">#REF!</definedName>
    <definedName name="Fecha" localSheetId="3">#REF!</definedName>
    <definedName name="Fecha">#REF!</definedName>
    <definedName name="fi_ACUM" localSheetId="7">#REF!</definedName>
    <definedName name="fi_ACUM" localSheetId="3">#REF!</definedName>
    <definedName name="fi_ACUM" localSheetId="2">#REF!</definedName>
    <definedName name="fi_ACUM">#REF!</definedName>
    <definedName name="fi_MES" localSheetId="7">#REF!</definedName>
    <definedName name="fi_MES" localSheetId="3">#REF!</definedName>
    <definedName name="fi_MES" localSheetId="2">#REF!</definedName>
    <definedName name="fi_MES">#REF!</definedName>
    <definedName name="Fideicomisos" localSheetId="7">#REF!</definedName>
    <definedName name="Fideicomisos" localSheetId="3">#REF!</definedName>
    <definedName name="Fideicomisos" localSheetId="2">#REF!</definedName>
    <definedName name="Fideicomisos">#REF!</definedName>
    <definedName name="GENERAL_INSURANCE" localSheetId="7">#REF!</definedName>
    <definedName name="GENERAL_INSURANCE" localSheetId="3">#REF!</definedName>
    <definedName name="GENERAL_INSURANCE" localSheetId="2">#REF!</definedName>
    <definedName name="GENERAL_INSURANCE">#REF!</definedName>
    <definedName name="gg_ACUM1" localSheetId="7">#REF!</definedName>
    <definedName name="gg_ACUM1" localSheetId="3">#REF!</definedName>
    <definedName name="gg_ACUM1" localSheetId="2">#REF!</definedName>
    <definedName name="gg_ACUM1">#REF!</definedName>
    <definedName name="gg_ACUM2" localSheetId="7">#REF!</definedName>
    <definedName name="gg_ACUM2" localSheetId="3">#REF!</definedName>
    <definedName name="gg_ACUM2" localSheetId="2">#REF!</definedName>
    <definedName name="gg_ACUM2">#REF!</definedName>
    <definedName name="gg_MES1" localSheetId="7">#REF!</definedName>
    <definedName name="gg_MES1" localSheetId="3">#REF!</definedName>
    <definedName name="gg_MES1" localSheetId="2">#REF!</definedName>
    <definedName name="gg_MES1">#REF!</definedName>
    <definedName name="gg_MES2" localSheetId="7">#REF!</definedName>
    <definedName name="gg_MES2" localSheetId="3">#REF!</definedName>
    <definedName name="gg_MES2" localSheetId="2">#REF!</definedName>
    <definedName name="gg_MES2">#REF!</definedName>
    <definedName name="ggr_ACUM1" localSheetId="7">#REF!</definedName>
    <definedName name="ggr_ACUM1" localSheetId="3">#REF!</definedName>
    <definedName name="ggr_ACUM1" localSheetId="2">#REF!</definedName>
    <definedName name="ggr_ACUM1">#REF!</definedName>
    <definedName name="ggr_ACUM2" localSheetId="7">#REF!</definedName>
    <definedName name="ggr_ACUM2" localSheetId="3">#REF!</definedName>
    <definedName name="ggr_ACUM2" localSheetId="2">#REF!</definedName>
    <definedName name="ggr_ACUM2">#REF!</definedName>
    <definedName name="ggr_MES1" localSheetId="7">#REF!</definedName>
    <definedName name="ggr_MES1" localSheetId="3">#REF!</definedName>
    <definedName name="ggr_MES1" localSheetId="2">#REF!</definedName>
    <definedName name="ggr_MES1">#REF!</definedName>
    <definedName name="ggr_MES2" localSheetId="7">#REF!</definedName>
    <definedName name="ggr_MES2" localSheetId="3">#REF!</definedName>
    <definedName name="ggr_MES2" localSheetId="2">#REF!</definedName>
    <definedName name="ggr_MES2">#REF!</definedName>
    <definedName name="GIRRCOP" localSheetId="7">#REF!</definedName>
    <definedName name="GIRRCOP" localSheetId="3">#REF!</definedName>
    <definedName name="GIRRCOP" localSheetId="2">#REF!</definedName>
    <definedName name="GIRRCOP">#REF!</definedName>
    <definedName name="GIRRUSD" localSheetId="7">#REF!</definedName>
    <definedName name="GIRRUSD" localSheetId="3">#REF!</definedName>
    <definedName name="GIRRUSD" localSheetId="2">#REF!</definedName>
    <definedName name="GIRRUSD">#REF!</definedName>
    <definedName name="gp_ACUM1" localSheetId="7">#REF!</definedName>
    <definedName name="gp_ACUM1" localSheetId="3">#REF!</definedName>
    <definedName name="gp_ACUM1" localSheetId="2">#REF!</definedName>
    <definedName name="gp_ACUM1">#REF!</definedName>
    <definedName name="gp_ACUM2" localSheetId="7">#REF!</definedName>
    <definedName name="gp_ACUM2" localSheetId="3">#REF!</definedName>
    <definedName name="gp_ACUM2" localSheetId="2">#REF!</definedName>
    <definedName name="gp_ACUM2">#REF!</definedName>
    <definedName name="gp_MES1" localSheetId="7">#REF!</definedName>
    <definedName name="gp_MES1" localSheetId="3">#REF!</definedName>
    <definedName name="gp_MES1" localSheetId="2">#REF!</definedName>
    <definedName name="gp_MES1">#REF!</definedName>
    <definedName name="gp_MES2" localSheetId="7">#REF!</definedName>
    <definedName name="gp_MES2" localSheetId="3">#REF!</definedName>
    <definedName name="gp_MES2" localSheetId="2">#REF!</definedName>
    <definedName name="gp_MES2">#REF!</definedName>
    <definedName name="_xlnm.Recorder" localSheetId="7">#REF!</definedName>
    <definedName name="_xlnm.Recorder" localSheetId="3">#REF!</definedName>
    <definedName name="_xlnm.Recorder" localSheetId="2">#REF!</definedName>
    <definedName name="_xlnm.Recorder">#REF!</definedName>
    <definedName name="hjhiy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7">#REF!</definedName>
    <definedName name="I_ACUM" localSheetId="3">#REF!</definedName>
    <definedName name="I_ACUM" localSheetId="2">#REF!</definedName>
    <definedName name="I_ACUM">#REF!</definedName>
    <definedName name="I_ANT" localSheetId="7">#REF!</definedName>
    <definedName name="I_ANT" localSheetId="3">#REF!</definedName>
    <definedName name="I_ANT" localSheetId="2">#REF!</definedName>
    <definedName name="I_ANT">#REF!</definedName>
    <definedName name="I_MES" localSheetId="7">#REF!</definedName>
    <definedName name="I_MES" localSheetId="3">#REF!</definedName>
    <definedName name="I_MES" localSheetId="2">#REF!</definedName>
    <definedName name="I_MES">#REF!</definedName>
    <definedName name="ie_ACUM" localSheetId="7">#REF!</definedName>
    <definedName name="ie_ACUM" localSheetId="3">#REF!</definedName>
    <definedName name="ie_ACUM" localSheetId="2">#REF!</definedName>
    <definedName name="ie_ACUM">#REF!</definedName>
    <definedName name="ie_MES" localSheetId="7">#REF!</definedName>
    <definedName name="ie_MES" localSheetId="3">#REF!</definedName>
    <definedName name="ie_MES" localSheetId="2">#REF!</definedName>
    <definedName name="ie_MES">#REF!</definedName>
    <definedName name="ii_ACUM" localSheetId="7">#REF!</definedName>
    <definedName name="ii_ACUM" localSheetId="3">#REF!</definedName>
    <definedName name="ii_ACUM" localSheetId="2">#REF!</definedName>
    <definedName name="ii_ACUM">#REF!</definedName>
    <definedName name="ii_Mes" localSheetId="7">#REF!</definedName>
    <definedName name="ii_Mes" localSheetId="3">#REF!</definedName>
    <definedName name="ii_Mes" localSheetId="2">#REF!</definedName>
    <definedName name="ii_Mes">#REF!</definedName>
    <definedName name="Imp_ACUM" localSheetId="7">#REF!</definedName>
    <definedName name="Imp_ACUM" localSheetId="3">#REF!</definedName>
    <definedName name="Imp_ACUM" localSheetId="2">#REF!</definedName>
    <definedName name="Imp_ACUM">#REF!</definedName>
    <definedName name="Imp_MES" localSheetId="7">#REF!</definedName>
    <definedName name="Imp_MES" localSheetId="3">#REF!</definedName>
    <definedName name="Imp_MES" localSheetId="2">#REF!</definedName>
    <definedName name="Imp_MES">#REF!</definedName>
    <definedName name="Informes_MAR_y_SAR_Lloyds" localSheetId="7">#REF!</definedName>
    <definedName name="Informes_MAR_y_SAR_Lloyds" localSheetId="3">#REF!</definedName>
    <definedName name="Informes_MAR_y_SAR_Lloyds" localSheetId="2">#REF!</definedName>
    <definedName name="Informes_MAR_y_SAR_Lloyds">#REF!</definedName>
    <definedName name="Inmobiliaria" localSheetId="7">#REF!</definedName>
    <definedName name="Inmobiliaria" localSheetId="3">#REF!</definedName>
    <definedName name="Inmobiliaria" localSheetId="2">#REF!</definedName>
    <definedName name="Inmobiliaria">#REF!</definedName>
    <definedName name="Intang_ACUM" localSheetId="7">#REF!</definedName>
    <definedName name="Intang_ACUM" localSheetId="3">#REF!</definedName>
    <definedName name="Intang_ACUM" localSheetId="2">#REF!</definedName>
    <definedName name="Intang_ACUM">#REF!</definedName>
    <definedName name="Intang_ANT" localSheetId="7">#REF!</definedName>
    <definedName name="Intang_ANT" localSheetId="3">#REF!</definedName>
    <definedName name="Intang_ANT" localSheetId="2">#REF!</definedName>
    <definedName name="Intang_ANT">#REF!</definedName>
    <definedName name="Intang_MES" localSheetId="7">#REF!</definedName>
    <definedName name="Intang_MES" localSheetId="3">#REF!</definedName>
    <definedName name="Intang_MES" localSheetId="2">#REF!</definedName>
    <definedName name="Intang_MES">#REF!</definedName>
    <definedName name="ivett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7">#REF!</definedName>
    <definedName name="Julio2000" localSheetId="3">#REF!</definedName>
    <definedName name="Julio2000" localSheetId="2">#REF!</definedName>
    <definedName name="Julio2000">#REF!</definedName>
    <definedName name="Julio2001" localSheetId="7">#REF!</definedName>
    <definedName name="Julio2001" localSheetId="3">#REF!</definedName>
    <definedName name="Julio2001" localSheetId="2">#REF!</definedName>
    <definedName name="Julio2001">#REF!</definedName>
    <definedName name="Julio2002" localSheetId="7">#REF!</definedName>
    <definedName name="Julio2002" localSheetId="3">#REF!</definedName>
    <definedName name="Julio2002" localSheetId="2">#REF!</definedName>
    <definedName name="Julio2002">#REF!</definedName>
    <definedName name="Julio2003" localSheetId="7">#REF!</definedName>
    <definedName name="Julio2003" localSheetId="3">#REF!</definedName>
    <definedName name="Julio2003" localSheetId="2">#REF!</definedName>
    <definedName name="Julio2003">#REF!</definedName>
    <definedName name="Julio2004" localSheetId="7">#REF!</definedName>
    <definedName name="Julio2004" localSheetId="3">#REF!</definedName>
    <definedName name="Julio2004" localSheetId="2">#REF!</definedName>
    <definedName name="Julio2004">#REF!</definedName>
    <definedName name="Junio1997" localSheetId="7">#REF!</definedName>
    <definedName name="Junio1997" localSheetId="3">#REF!</definedName>
    <definedName name="Junio1997" localSheetId="2">#REF!</definedName>
    <definedName name="Junio1997">#REF!</definedName>
    <definedName name="Junio1998" localSheetId="7">#REF!</definedName>
    <definedName name="Junio1998" localSheetId="3">#REF!</definedName>
    <definedName name="Junio1998" localSheetId="2">#REF!</definedName>
    <definedName name="Junio1998">#REF!</definedName>
    <definedName name="Junio1999" localSheetId="7">#REF!</definedName>
    <definedName name="Junio1999" localSheetId="3">#REF!</definedName>
    <definedName name="Junio1999" localSheetId="2">#REF!</definedName>
    <definedName name="Junio1999">#REF!</definedName>
    <definedName name="Junio2000" localSheetId="7">#REF!</definedName>
    <definedName name="Junio2000" localSheetId="3">#REF!</definedName>
    <definedName name="Junio2000" localSheetId="2">#REF!</definedName>
    <definedName name="Junio2000">#REF!</definedName>
    <definedName name="Junio2001" localSheetId="7">#REF!</definedName>
    <definedName name="Junio2001" localSheetId="3">#REF!</definedName>
    <definedName name="Junio2001" localSheetId="2">#REF!</definedName>
    <definedName name="Junio2001">#REF!</definedName>
    <definedName name="Junio2002" localSheetId="7">#REF!</definedName>
    <definedName name="Junio2002" localSheetId="3">#REF!</definedName>
    <definedName name="Junio2002" localSheetId="2">#REF!</definedName>
    <definedName name="Junio2002">#REF!</definedName>
    <definedName name="Junio2003" localSheetId="7">#REF!</definedName>
    <definedName name="Junio2003" localSheetId="3">#REF!</definedName>
    <definedName name="Junio2003" localSheetId="2">#REF!</definedName>
    <definedName name="Junio2003">#REF!</definedName>
    <definedName name="Junio2004" localSheetId="7">#REF!</definedName>
    <definedName name="Junio2004" localSheetId="3">#REF!</definedName>
    <definedName name="Junio2004" localSheetId="2">#REF!</definedName>
    <definedName name="Junio2004">#REF!</definedName>
    <definedName name="L_ACUM" localSheetId="7">#REF!</definedName>
    <definedName name="L_ACUM" localSheetId="3">#REF!</definedName>
    <definedName name="L_ACUM" localSheetId="2">#REF!</definedName>
    <definedName name="L_ACUM">#REF!</definedName>
    <definedName name="L_ANT" localSheetId="7">#REF!</definedName>
    <definedName name="L_ANT" localSheetId="3">#REF!</definedName>
    <definedName name="L_ANT" localSheetId="2">#REF!</definedName>
    <definedName name="L_ANT">#REF!</definedName>
    <definedName name="L_MES" localSheetId="7">#REF!</definedName>
    <definedName name="L_MES" localSheetId="3">#REF!</definedName>
    <definedName name="L_MES" localSheetId="2">#REF!</definedName>
    <definedName name="L_MES">#REF!</definedName>
    <definedName name="LIFE_ASSURANCE" localSheetId="7">#REF!</definedName>
    <definedName name="LIFE_ASSURANCE" localSheetId="3">#REF!</definedName>
    <definedName name="LIFE_ASSURANCE" localSheetId="2">#REF!</definedName>
    <definedName name="LIFE_ASSURANCE">#REF!</definedName>
    <definedName name="LLL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7">#REF!</definedName>
    <definedName name="Marzo1997" localSheetId="3">#REF!</definedName>
    <definedName name="Marzo1997" localSheetId="2">#REF!</definedName>
    <definedName name="Marzo1997">#REF!</definedName>
    <definedName name="Marzo1998" localSheetId="7">#REF!</definedName>
    <definedName name="Marzo1998" localSheetId="3">#REF!</definedName>
    <definedName name="Marzo1998" localSheetId="2">#REF!</definedName>
    <definedName name="Marzo1998">#REF!</definedName>
    <definedName name="Marzo1999" localSheetId="7">#REF!</definedName>
    <definedName name="Marzo1999" localSheetId="3">#REF!</definedName>
    <definedName name="Marzo1999" localSheetId="2">#REF!</definedName>
    <definedName name="Marzo1999">#REF!</definedName>
    <definedName name="Marzo2000" localSheetId="7">#REF!</definedName>
    <definedName name="Marzo2000" localSheetId="3">#REF!</definedName>
    <definedName name="Marzo2000" localSheetId="2">#REF!</definedName>
    <definedName name="Marzo2000">#REF!</definedName>
    <definedName name="Marzo2001" localSheetId="7">#REF!</definedName>
    <definedName name="Marzo2001" localSheetId="3">#REF!</definedName>
    <definedName name="Marzo2001" localSheetId="2">#REF!</definedName>
    <definedName name="Marzo2001">#REF!</definedName>
    <definedName name="Marzo2002" localSheetId="7">#REF!</definedName>
    <definedName name="Marzo2002" localSheetId="3">#REF!</definedName>
    <definedName name="Marzo2002" localSheetId="2">#REF!</definedName>
    <definedName name="Marzo2002">#REF!</definedName>
    <definedName name="Marzo2003" localSheetId="7">#REF!</definedName>
    <definedName name="Marzo2003" localSheetId="3">#REF!</definedName>
    <definedName name="Marzo2003" localSheetId="2">#REF!</definedName>
    <definedName name="Marzo2003">#REF!</definedName>
    <definedName name="Marzo2004" localSheetId="7">#REF!</definedName>
    <definedName name="Marzo2004" localSheetId="3">#REF!</definedName>
    <definedName name="Marzo2004" localSheetId="2">#REF!</definedName>
    <definedName name="Marzo2004">#REF!</definedName>
    <definedName name="Mayo2000" localSheetId="7">#REF!</definedName>
    <definedName name="Mayo2000" localSheetId="3">#REF!</definedName>
    <definedName name="Mayo2000" localSheetId="2">#REF!</definedName>
    <definedName name="Mayo2000">#REF!</definedName>
    <definedName name="Mayo2001" localSheetId="7">#REF!</definedName>
    <definedName name="Mayo2001" localSheetId="3">#REF!</definedName>
    <definedName name="Mayo2001" localSheetId="2">#REF!</definedName>
    <definedName name="Mayo2001">#REF!</definedName>
    <definedName name="Mayo2002" localSheetId="7">#REF!</definedName>
    <definedName name="Mayo2002" localSheetId="3">#REF!</definedName>
    <definedName name="Mayo2002" localSheetId="2">#REF!</definedName>
    <definedName name="Mayo2002">#REF!</definedName>
    <definedName name="Mayo2003" localSheetId="7">#REF!</definedName>
    <definedName name="Mayo2003" localSheetId="3">#REF!</definedName>
    <definedName name="Mayo2003" localSheetId="2">#REF!</definedName>
    <definedName name="Mayo2003">#REF!</definedName>
    <definedName name="Mayo2004" localSheetId="7">#REF!</definedName>
    <definedName name="Mayo2004" localSheetId="3">#REF!</definedName>
    <definedName name="Mayo2004" localSheetId="2">#REF!</definedName>
    <definedName name="Mayo2004">#REF!</definedName>
    <definedName name="NICARAGU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7">#REF!</definedName>
    <definedName name="NOM" localSheetId="3">#REF!</definedName>
    <definedName name="NOM">#REF!</definedName>
    <definedName name="Noviembre2000" localSheetId="7">#REF!</definedName>
    <definedName name="Noviembre2000" localSheetId="3">#REF!</definedName>
    <definedName name="Noviembre2000" localSheetId="2">#REF!</definedName>
    <definedName name="Noviembre2000">#REF!</definedName>
    <definedName name="Noviembre2001" localSheetId="7">#REF!</definedName>
    <definedName name="Noviembre2001" localSheetId="3">#REF!</definedName>
    <definedName name="Noviembre2001" localSheetId="2">#REF!</definedName>
    <definedName name="Noviembre2001">#REF!</definedName>
    <definedName name="Noviembre2002" localSheetId="7">#REF!</definedName>
    <definedName name="Noviembre2002" localSheetId="3">#REF!</definedName>
    <definedName name="Noviembre2002" localSheetId="2">#REF!</definedName>
    <definedName name="Noviembre2002">#REF!</definedName>
    <definedName name="Noviembre2003" localSheetId="7">#REF!</definedName>
    <definedName name="Noviembre2003" localSheetId="3">#REF!</definedName>
    <definedName name="Noviembre2003" localSheetId="2">#REF!</definedName>
    <definedName name="Noviembre2003">#REF!</definedName>
    <definedName name="Noviembre2004" localSheetId="7">#REF!</definedName>
    <definedName name="Noviembre2004" localSheetId="3">#REF!</definedName>
    <definedName name="Noviembre2004" localSheetId="2">#REF!</definedName>
    <definedName name="Noviembre2004">#REF!</definedName>
    <definedName name="O_ACUM" localSheetId="7">#REF!</definedName>
    <definedName name="O_ACUM" localSheetId="3">#REF!</definedName>
    <definedName name="O_ACUM" localSheetId="2">#REF!</definedName>
    <definedName name="O_ACUM">#REF!</definedName>
    <definedName name="O_ANT" localSheetId="7">#REF!</definedName>
    <definedName name="O_ANT" localSheetId="3">#REF!</definedName>
    <definedName name="O_ANT" localSheetId="2">#REF!</definedName>
    <definedName name="O_ANT">#REF!</definedName>
    <definedName name="O_MES" localSheetId="7">#REF!</definedName>
    <definedName name="O_MES" localSheetId="3">#REF!</definedName>
    <definedName name="O_MES" localSheetId="2">#REF!</definedName>
    <definedName name="O_MES">#REF!</definedName>
    <definedName name="Octubre2000" localSheetId="7">#REF!</definedName>
    <definedName name="Octubre2000" localSheetId="3">#REF!</definedName>
    <definedName name="Octubre2000" localSheetId="2">#REF!</definedName>
    <definedName name="Octubre2000">#REF!</definedName>
    <definedName name="Octubre2001" localSheetId="7">#REF!</definedName>
    <definedName name="Octubre2001" localSheetId="3">#REF!</definedName>
    <definedName name="Octubre2001" localSheetId="2">#REF!</definedName>
    <definedName name="Octubre2001">#REF!</definedName>
    <definedName name="Octubre2002" localSheetId="7">#REF!</definedName>
    <definedName name="Octubre2002" localSheetId="3">#REF!</definedName>
    <definedName name="Octubre2002" localSheetId="2">#REF!</definedName>
    <definedName name="Octubre2002">#REF!</definedName>
    <definedName name="Octubre2003" localSheetId="7">#REF!</definedName>
    <definedName name="Octubre2003" localSheetId="3">#REF!</definedName>
    <definedName name="Octubre2003" localSheetId="2">#REF!</definedName>
    <definedName name="Octubre2003">#REF!</definedName>
    <definedName name="Octubre2004" localSheetId="7">#REF!</definedName>
    <definedName name="Octubre2004" localSheetId="3">#REF!</definedName>
    <definedName name="Octubre2004" localSheetId="2">#REF!</definedName>
    <definedName name="Octubre2004">#REF!</definedName>
    <definedName name="oi_ACUM" localSheetId="7">#REF!</definedName>
    <definedName name="oi_ACUM" localSheetId="3">#REF!</definedName>
    <definedName name="oi_ACUM" localSheetId="2">#REF!</definedName>
    <definedName name="oi_ACUM">#REF!</definedName>
    <definedName name="oi_MES" localSheetId="7">#REF!</definedName>
    <definedName name="oi_MES" localSheetId="3">#REF!</definedName>
    <definedName name="oi_MES" localSheetId="2">#REF!</definedName>
    <definedName name="oi_MES">#REF!</definedName>
    <definedName name="Op_ACUM" localSheetId="7">#REF!</definedName>
    <definedName name="Op_ACUM" localSheetId="3">#REF!</definedName>
    <definedName name="Op_ACUM" localSheetId="2">#REF!</definedName>
    <definedName name="Op_ACUM">#REF!</definedName>
    <definedName name="Op_ANT" localSheetId="7">#REF!</definedName>
    <definedName name="Op_ANT" localSheetId="3">#REF!</definedName>
    <definedName name="Op_ANT" localSheetId="2">#REF!</definedName>
    <definedName name="Op_ANT">#REF!</definedName>
    <definedName name="Op_ATN" localSheetId="7">#REF!</definedName>
    <definedName name="Op_ATN" localSheetId="3">#REF!</definedName>
    <definedName name="Op_ATN" localSheetId="2">#REF!</definedName>
    <definedName name="Op_ATN">#REF!</definedName>
    <definedName name="Op_MES" localSheetId="7">#REF!</definedName>
    <definedName name="Op_MES" localSheetId="3">#REF!</definedName>
    <definedName name="Op_MES" localSheetId="2">#REF!</definedName>
    <definedName name="Op_MES">#REF!</definedName>
    <definedName name="panam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7">#REF!</definedName>
    <definedName name="PER" localSheetId="3">#REF!</definedName>
    <definedName name="PER">#REF!</definedName>
    <definedName name="perman" localSheetId="7">#REF!</definedName>
    <definedName name="perman" localSheetId="3">#REF!</definedName>
    <definedName name="perman">#REF!</definedName>
    <definedName name="portafolio" localSheetId="7">[7]Portafolio!$B$5:$AK$263</definedName>
    <definedName name="portafolio" localSheetId="3">[7]Portafolio!$B$5:$AK$263</definedName>
    <definedName name="portafolio" localSheetId="2">[7]Portafolio!$B$5:$AK$263</definedName>
    <definedName name="portafolio">[8]Portafolio!$B$5:$AK$263</definedName>
    <definedName name="Procesado" localSheetId="7">#REF!</definedName>
    <definedName name="Procesado" localSheetId="3">#REF!</definedName>
    <definedName name="Procesado">#REF!</definedName>
    <definedName name="ProvPYG" localSheetId="7">[9]Parametros!$X$1:$AB$244</definedName>
    <definedName name="ProvPYG" localSheetId="3">[9]Parametros!$X$1:$AB$244</definedName>
    <definedName name="ProvPYG" localSheetId="2">[9]Parametros!$X$1:$AB$244</definedName>
    <definedName name="ProvPYG">[10]Parametros!$X$1:$AB$244</definedName>
    <definedName name="Q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[11]DetalleFlujoUSD!$HX$8:$HX$98</definedName>
    <definedName name="r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7">#REF!</definedName>
    <definedName name="SAFI" localSheetId="3">#REF!</definedName>
    <definedName name="SAFI" localSheetId="2">#REF!</definedName>
    <definedName name="SAFI">#REF!</definedName>
    <definedName name="Saldos" localSheetId="7">#REF!</definedName>
    <definedName name="Saldos" localSheetId="3">#REF!</definedName>
    <definedName name="Saldos">#REF!</definedName>
    <definedName name="SCHEDULE_A" localSheetId="7">#REF!</definedName>
    <definedName name="SCHEDULE_A" localSheetId="3">#REF!</definedName>
    <definedName name="SCHEDULE_A" localSheetId="2">#REF!</definedName>
    <definedName name="SCHEDULE_A">#REF!</definedName>
    <definedName name="SCHEDULE_B" localSheetId="7">#REF!</definedName>
    <definedName name="SCHEDULE_B" localSheetId="3">#REF!</definedName>
    <definedName name="SCHEDULE_B" localSheetId="2">#REF!</definedName>
    <definedName name="SCHEDULE_B">#REF!</definedName>
    <definedName name="SCHEDULE_C" localSheetId="7">#REF!</definedName>
    <definedName name="SCHEDULE_C" localSheetId="3">#REF!</definedName>
    <definedName name="SCHEDULE_C" localSheetId="2">#REF!</definedName>
    <definedName name="SCHEDULE_C">#REF!</definedName>
    <definedName name="SCHEDULE_D" localSheetId="7">#REF!</definedName>
    <definedName name="SCHEDULE_D" localSheetId="3">#REF!</definedName>
    <definedName name="SCHEDULE_D" localSheetId="2">#REF!</definedName>
    <definedName name="SCHEDULE_D">#REF!</definedName>
    <definedName name="SCHEDULE_E" localSheetId="7">#REF!</definedName>
    <definedName name="SCHEDULE_E" localSheetId="3">#REF!</definedName>
    <definedName name="SCHEDULE_E" localSheetId="2">#REF!</definedName>
    <definedName name="SCHEDULE_E">#REF!</definedName>
    <definedName name="SCHEDULE_F" localSheetId="7">#REF!</definedName>
    <definedName name="SCHEDULE_F" localSheetId="3">#REF!</definedName>
    <definedName name="SCHEDULE_F" localSheetId="2">#REF!</definedName>
    <definedName name="SCHEDULE_F">#REF!</definedName>
    <definedName name="SCHEDULE_G" localSheetId="7">#REF!</definedName>
    <definedName name="SCHEDULE_G" localSheetId="3">#REF!</definedName>
    <definedName name="SCHEDULE_G" localSheetId="2">#REF!</definedName>
    <definedName name="SCHEDULE_G">#REF!</definedName>
    <definedName name="SCHEDULE_H" localSheetId="7">#REF!</definedName>
    <definedName name="SCHEDULE_H" localSheetId="3">#REF!</definedName>
    <definedName name="SCHEDULE_H" localSheetId="2">#REF!</definedName>
    <definedName name="SCHEDULE_H">#REF!</definedName>
    <definedName name="SCHEDULE_I" localSheetId="7">#REF!</definedName>
    <definedName name="SCHEDULE_I" localSheetId="3">#REF!</definedName>
    <definedName name="SCHEDULE_I" localSheetId="2">#REF!</definedName>
    <definedName name="SCHEDULE_I">#REF!</definedName>
    <definedName name="SCHEDULE_J" localSheetId="7">#REF!</definedName>
    <definedName name="SCHEDULE_J" localSheetId="3">#REF!</definedName>
    <definedName name="SCHEDULE_J" localSheetId="2">#REF!</definedName>
    <definedName name="SCHEDULE_J">#REF!</definedName>
    <definedName name="SCHEDULE_K" localSheetId="7">#REF!</definedName>
    <definedName name="SCHEDULE_K" localSheetId="3">#REF!</definedName>
    <definedName name="SCHEDULE_K" localSheetId="2">#REF!</definedName>
    <definedName name="SCHEDULE_K">#REF!</definedName>
    <definedName name="SCHEDULE_L" localSheetId="7">#REF!</definedName>
    <definedName name="SCHEDULE_L" localSheetId="3">#REF!</definedName>
    <definedName name="SCHEDULE_L" localSheetId="2">#REF!</definedName>
    <definedName name="SCHEDULE_L">#REF!</definedName>
    <definedName name="SCHEDULE_M" localSheetId="7">#REF!</definedName>
    <definedName name="SCHEDULE_M" localSheetId="3">#REF!</definedName>
    <definedName name="SCHEDULE_M" localSheetId="2">#REF!</definedName>
    <definedName name="SCHEDULE_M">#REF!</definedName>
    <definedName name="SCHEDULE_N" localSheetId="7">#REF!</definedName>
    <definedName name="SCHEDULE_N" localSheetId="3">#REF!</definedName>
    <definedName name="SCHEDULE_N" localSheetId="2">#REF!</definedName>
    <definedName name="SCHEDULE_N">#REF!</definedName>
    <definedName name="SCHEDULE_O" localSheetId="7">#REF!</definedName>
    <definedName name="SCHEDULE_O" localSheetId="3">#REF!</definedName>
    <definedName name="SCHEDULE_O" localSheetId="2">#REF!</definedName>
    <definedName name="SCHEDULE_O">#REF!</definedName>
    <definedName name="SCHEDULE_P" localSheetId="7">#REF!</definedName>
    <definedName name="SCHEDULE_P" localSheetId="3">#REF!</definedName>
    <definedName name="SCHEDULE_P" localSheetId="2">#REF!</definedName>
    <definedName name="SCHEDULE_P">#REF!</definedName>
    <definedName name="SCHEDULE_Q" localSheetId="7">#REF!</definedName>
    <definedName name="SCHEDULE_Q" localSheetId="3">#REF!</definedName>
    <definedName name="SCHEDULE_Q" localSheetId="2">#REF!</definedName>
    <definedName name="SCHEDULE_Q">#REF!</definedName>
    <definedName name="SCHEDULE_R" localSheetId="7">#REF!</definedName>
    <definedName name="SCHEDULE_R" localSheetId="3">#REF!</definedName>
    <definedName name="SCHEDULE_R" localSheetId="2">#REF!</definedName>
    <definedName name="SCHEDULE_R">#REF!</definedName>
    <definedName name="SCHEDULE_S" localSheetId="7">#REF!</definedName>
    <definedName name="SCHEDULE_S" localSheetId="3">#REF!</definedName>
    <definedName name="SCHEDULE_S" localSheetId="2">#REF!</definedName>
    <definedName name="SCHEDULE_S">#REF!</definedName>
    <definedName name="Seguros" localSheetId="7">#REF!</definedName>
    <definedName name="Seguros" localSheetId="3">#REF!</definedName>
    <definedName name="Seguros" localSheetId="2">#REF!</definedName>
    <definedName name="Seguros">#REF!</definedName>
    <definedName name="Septiembre1997" localSheetId="7">#REF!</definedName>
    <definedName name="Septiembre1997" localSheetId="3">#REF!</definedName>
    <definedName name="Septiembre1997" localSheetId="2">#REF!</definedName>
    <definedName name="Septiembre1997">#REF!</definedName>
    <definedName name="Septiembre1998" localSheetId="7">#REF!</definedName>
    <definedName name="Septiembre1998" localSheetId="3">#REF!</definedName>
    <definedName name="Septiembre1998" localSheetId="2">#REF!</definedName>
    <definedName name="Septiembre1998">#REF!</definedName>
    <definedName name="Septiembre1999" localSheetId="7">#REF!</definedName>
    <definedName name="Septiembre1999" localSheetId="3">#REF!</definedName>
    <definedName name="Septiembre1999" localSheetId="2">#REF!</definedName>
    <definedName name="Septiembre1999">#REF!</definedName>
    <definedName name="Septiembre2000" localSheetId="7">#REF!</definedName>
    <definedName name="Septiembre2000" localSheetId="3">#REF!</definedName>
    <definedName name="Septiembre2000" localSheetId="2">#REF!</definedName>
    <definedName name="Septiembre2000">#REF!</definedName>
    <definedName name="Septiembre2001" localSheetId="7">#REF!</definedName>
    <definedName name="Septiembre2001" localSheetId="3">#REF!</definedName>
    <definedName name="Septiembre2001" localSheetId="2">#REF!</definedName>
    <definedName name="Septiembre2001">#REF!</definedName>
    <definedName name="Septiembre2002" localSheetId="7">#REF!</definedName>
    <definedName name="Septiembre2002" localSheetId="3">#REF!</definedName>
    <definedName name="Septiembre2002" localSheetId="2">#REF!</definedName>
    <definedName name="Septiembre2002">#REF!</definedName>
    <definedName name="Septiembre2003" localSheetId="7">#REF!</definedName>
    <definedName name="Septiembre2003" localSheetId="3">#REF!</definedName>
    <definedName name="Septiembre2003" localSheetId="2">#REF!</definedName>
    <definedName name="Septiembre2003">#REF!</definedName>
    <definedName name="Septiembre2004" localSheetId="7">#REF!</definedName>
    <definedName name="Septiembre2004" localSheetId="3">#REF!</definedName>
    <definedName name="Septiembre2004" localSheetId="2">#REF!</definedName>
    <definedName name="Septiembre2004">#REF!</definedName>
    <definedName name="Sum_KSheet2_1">'[12]Flujo de Efectivo Dic.14'!#REF!</definedName>
    <definedName name="Sum_KSheet2_2">'[12]Flujo de Efectivo Dic.14'!#REF!</definedName>
    <definedName name="Sum_KSheet2_3">'[12]Flujo de Efectivo Dic.14'!#REF!</definedName>
    <definedName name="Sum_KSheet2_4">'[12]Flujo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tc" localSheetId="7">#REF!</definedName>
    <definedName name="tc" localSheetId="3">#REF!</definedName>
    <definedName name="tc" localSheetId="2">#REF!</definedName>
    <definedName name="tc">#REF!</definedName>
    <definedName name="TCBCCR" localSheetId="7">#REF!</definedName>
    <definedName name="TCBCCR" localSheetId="3">#REF!</definedName>
    <definedName name="TCBCCR">#REF!</definedName>
    <definedName name="TCHSBC" localSheetId="7">#REF!</definedName>
    <definedName name="TCHSBC" localSheetId="3">#REF!</definedName>
    <definedName name="TCHSBC">#REF!</definedName>
    <definedName name="TCMONEX">[4]Parámetros!$C$2</definedName>
    <definedName name="TCO" localSheetId="7">#REF!</definedName>
    <definedName name="TCO" localSheetId="3">#REF!</definedName>
    <definedName name="TCO">#REF!</definedName>
    <definedName name="TCP" localSheetId="7">#REF!</definedName>
    <definedName name="TCP" localSheetId="3">#REF!</definedName>
    <definedName name="TCP">#REF!</definedName>
    <definedName name="TCPHSBC" localSheetId="7">#REF!</definedName>
    <definedName name="TCPHSBC" localSheetId="3">#REF!</definedName>
    <definedName name="TCPHSBC">#REF!</definedName>
    <definedName name="TipoPapel" localSheetId="3">OFFSET([13]Parámetros!$AC$1,0,0,COUNTA([13]Parámetros!$AC$1:$AC$65536),2)</definedName>
    <definedName name="TipoPapel" localSheetId="2">OFFSET([13]Parámetros!$AC$1,0,0,COUNTA([13]Parámetros!$AC$1:$AC$65536),2)</definedName>
    <definedName name="TipoPapel">OFFSET([13]Parámetros!$AC$1,0,0,COUNTA([13]Parámetros!$AC$1:$AC$65536),2)</definedName>
    <definedName name="udesJueves">[5]Captados!$AH$84:$AN$98,[5]Captados!$AH$103:$AN$118,[5]Captados!$AH$120:$AN$124,[5]Captados!$AH$128:$AN$136,[5]Captados!$AH$140:$AN$143</definedName>
    <definedName name="udesLunes">[5]Captados!$M$84:$S$98,[5]Captados!$M$103:$S$118,[5]Captados!$M$120:$S$124,[5]Captados!$M$128:$S$136,[5]Captados!$M$140:$S$143</definedName>
    <definedName name="udesMartes">[5]Captados!$T$84:$Z$98,[5]Captados!$T$103:$Z$118,[5]Captados!$T$120:$Z$124,[5]Captados!$T$128:$Z$136,[5]Captados!$T$140:$Z$143</definedName>
    <definedName name="udesMiercoles">[5]Captados!$AA$84:$AG$98,[5]Captados!$AA$103:$AG$118,[5]Captados!$AA$120:$AG$124,[5]Captados!$AA$128:$AG$136,[5]Captados!$AA$140:$AG$143</definedName>
    <definedName name="udesViernes">[5]Captados!$AO$84:$AU$98,[5]Captados!$AO$103:$AU$118,[5]Captados!$AO$120:$AU$124,[5]Captados!$AO$128:$AU$136,[5]Captados!$AO$140:$AU$143</definedName>
    <definedName name="uujuoo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7">#REF!</definedName>
    <definedName name="Valores" localSheetId="3">#REF!</definedName>
    <definedName name="Valores" localSheetId="2">#REF!</definedName>
    <definedName name="Valores">#REF!</definedName>
    <definedName name="VALUATION" localSheetId="7">[1]PUC!#REF!</definedName>
    <definedName name="VALUATION" localSheetId="3">[1]PUC!#REF!</definedName>
    <definedName name="VALUATION" localSheetId="2">[1]PUC!#REF!</definedName>
    <definedName name="VALUATION">[1]PUC!#REF!</definedName>
    <definedName name="VALUATION2" localSheetId="3">[1]PUC!#REF!</definedName>
    <definedName name="VALUATION2" localSheetId="2">[1]PUC!#REF!</definedName>
    <definedName name="VALUATION2">[1]PUC!#REF!</definedName>
    <definedName name="VENTA" localSheetId="7">#REF!</definedName>
    <definedName name="VENTA" localSheetId="3">#REF!</definedName>
    <definedName name="VENTA">#REF!</definedName>
    <definedName name="vng" localSheetId="7">#REF!</definedName>
    <definedName name="vng" localSheetId="3">#REF!</definedName>
    <definedName name="vng">#REF!</definedName>
    <definedName name="VT" localSheetId="7">#REF!</definedName>
    <definedName name="VT" localSheetId="3">#REF!</definedName>
    <definedName name="VT">#REF!</definedName>
    <definedName name="vto" localSheetId="7">#REF!</definedName>
    <definedName name="vto" localSheetId="3">#REF!</definedName>
    <definedName name="vto" localSheetId="2">#REF!</definedName>
    <definedName name="vto">#REF!</definedName>
    <definedName name="West" localSheetId="7">#REF!</definedName>
    <definedName name="West" localSheetId="3">#REF!</definedName>
    <definedName name="West" localSheetId="2">#REF!</definedName>
    <definedName name="West">#REF!</definedName>
    <definedName name="wrn.ERCT.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7">'[1]Fid.I Sem'!#REF!</definedName>
    <definedName name="xref_total" localSheetId="3">'[1]Fid.I Sem'!#REF!</definedName>
    <definedName name="xref_total" localSheetId="2">'[1]Fid.I Sem'!#REF!</definedName>
    <definedName name="xref_total">'[2]Fid.I Sem'!#REF!</definedName>
    <definedName name="xx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'Estado de situación financiera'!#REF!</definedName>
    <definedName name="Z_55C693CA_5D0B_4597_9B4A_80EDADA577A8_.wvu.Cols" localSheetId="1" hidden="1">'Estado ganancias o pérdidas'!$U:$X</definedName>
    <definedName name="Z_55C693CA_5D0B_4597_9B4A_80EDADA577A8_.wvu.Cols" localSheetId="2" hidden="1">Patrimonio!$G:$H,Patrimonio!$Q:$Q</definedName>
    <definedName name="Z_55C693CA_5D0B_4597_9B4A_80EDADA577A8_.wvu.PrintArea" localSheetId="0" hidden="1">'Estado de situación financiera'!$A$1:$K$46</definedName>
    <definedName name="Z_55C693CA_5D0B_4597_9B4A_80EDADA577A8_.wvu.PrintArea" localSheetId="1" hidden="1">'Estado ganancias o pérdidas'!$A$1:$L$61</definedName>
    <definedName name="Z_55C693CA_5D0B_4597_9B4A_80EDADA577A8_.wvu.PrintArea" localSheetId="3" hidden="1">'Flujo de efectivo'!$A$1:$F$58</definedName>
    <definedName name="Z_55C693CA_5D0B_4597_9B4A_80EDADA577A8_.wvu.PrintArea" localSheetId="2" hidden="1">Patrimonio!$A$1:$P$40</definedName>
    <definedName name="Z_55C693CA_5D0B_4597_9B4A_80EDADA577A8_.wvu.Rows" localSheetId="0" hidden="1">'Estado de situación financiera'!#REF!</definedName>
    <definedName name="Z_55C693CA_5D0B_4597_9B4A_80EDADA577A8_.wvu.Rows" localSheetId="1" hidden="1">'Estado ganancias o pérdidas'!#REF!</definedName>
    <definedName name="Z_55C693CA_5D0B_4597_9B4A_80EDADA577A8_.wvu.Rows" localSheetId="3" hidden="1">'Flujo de efectivo'!#REF!,'Flujo de efectivo'!#REF!</definedName>
    <definedName name="Z_55C693CA_5D0B_4597_9B4A_80EDADA577A8_.wvu.Rows" localSheetId="4" hidden="1">'HT flujo efectivo'!#REF!</definedName>
    <definedName name="Z_55C693CA_5D0B_4597_9B4A_80EDADA577A8_.wvu.Rows" localSheetId="2" hidden="1">Patrimonio!#REF!</definedName>
    <definedName name="Z_A9F55CD2_6A2D_4399_AC6F_7838D8DBB1F9_.wvu.Cols" localSheetId="0" hidden="1">'Estado de situación financiera'!#REF!</definedName>
    <definedName name="Z_A9F55CD2_6A2D_4399_AC6F_7838D8DBB1F9_.wvu.Cols" localSheetId="1" hidden="1">'Estado ganancias o pérdidas'!$U:$X</definedName>
    <definedName name="Z_A9F55CD2_6A2D_4399_AC6F_7838D8DBB1F9_.wvu.Cols" localSheetId="2" hidden="1">Patrimonio!$G:$H,Patrimonio!$Q:$Q</definedName>
    <definedName name="Z_A9F55CD2_6A2D_4399_AC6F_7838D8DBB1F9_.wvu.PrintArea" localSheetId="0" hidden="1">'Estado de situación financiera'!$A$1:$K$46</definedName>
    <definedName name="Z_A9F55CD2_6A2D_4399_AC6F_7838D8DBB1F9_.wvu.PrintArea" localSheetId="1" hidden="1">'Estado ganancias o pérdidas'!$A$1:$L$61</definedName>
    <definedName name="Z_A9F55CD2_6A2D_4399_AC6F_7838D8DBB1F9_.wvu.PrintArea" localSheetId="3" hidden="1">'Flujo de efectivo'!$A$1:$F$58</definedName>
    <definedName name="Z_A9F55CD2_6A2D_4399_AC6F_7838D8DBB1F9_.wvu.PrintArea" localSheetId="2" hidden="1">Patrimonio!$A$1:$P$40</definedName>
    <definedName name="Z_A9F55CD2_6A2D_4399_AC6F_7838D8DBB1F9_.wvu.Rows" localSheetId="0" hidden="1">'Estado de situación financiera'!#REF!</definedName>
    <definedName name="Z_A9F55CD2_6A2D_4399_AC6F_7838D8DBB1F9_.wvu.Rows" localSheetId="1" hidden="1">'Estado ganancias o pérdidas'!#REF!</definedName>
    <definedName name="Z_A9F55CD2_6A2D_4399_AC6F_7838D8DBB1F9_.wvu.Rows" localSheetId="3" hidden="1">'Flujo de efectivo'!#REF!,'Flujo de efectivo'!#REF!</definedName>
    <definedName name="Z_A9F55CD2_6A2D_4399_AC6F_7838D8DBB1F9_.wvu.Rows" localSheetId="4" hidden="1">'HT flujo efectivo'!#REF!</definedName>
    <definedName name="Z_A9F55CD2_6A2D_4399_AC6F_7838D8DBB1F9_.wvu.Rows" localSheetId="2" hidden="1">Patrimonio!#REF!</definedName>
    <definedName name="Z_C62832D5_F792_42E8_A1FD_DB7E32F4533C_.wvu.Cols" localSheetId="0" hidden="1">'Estado de situación financiera'!#REF!</definedName>
    <definedName name="Z_C62832D5_F792_42E8_A1FD_DB7E32F4533C_.wvu.Cols" localSheetId="1" hidden="1">'Estado ganancias o pérdidas'!$U:$X</definedName>
    <definedName name="Z_C62832D5_F792_42E8_A1FD_DB7E32F4533C_.wvu.Cols" localSheetId="2" hidden="1">Patrimonio!$G:$H,Patrimonio!$Q:$Q</definedName>
    <definedName name="Z_C62832D5_F792_42E8_A1FD_DB7E32F4533C_.wvu.PrintArea" localSheetId="0" hidden="1">'Estado de situación financiera'!$A$1:$K$46</definedName>
    <definedName name="Z_C62832D5_F792_42E8_A1FD_DB7E32F4533C_.wvu.PrintArea" localSheetId="1" hidden="1">'Estado ganancias o pérdidas'!$A$1:$L$61</definedName>
    <definedName name="Z_C62832D5_F792_42E8_A1FD_DB7E32F4533C_.wvu.PrintArea" localSheetId="3" hidden="1">'Flujo de efectivo'!$A$1:$F$58</definedName>
    <definedName name="Z_C62832D5_F792_42E8_A1FD_DB7E32F4533C_.wvu.PrintArea" localSheetId="2" hidden="1">Patrimonio!$A$1:$P$40</definedName>
    <definedName name="Z_C62832D5_F792_42E8_A1FD_DB7E32F4533C_.wvu.Rows" localSheetId="0" hidden="1">'Estado de situación financiera'!#REF!</definedName>
    <definedName name="Z_C62832D5_F792_42E8_A1FD_DB7E32F4533C_.wvu.Rows" localSheetId="1" hidden="1">'Estado ganancias o pérdidas'!#REF!</definedName>
    <definedName name="Z_C62832D5_F792_42E8_A1FD_DB7E32F4533C_.wvu.Rows" localSheetId="3" hidden="1">'Flujo de efectivo'!#REF!,'Flujo de efectivo'!#REF!</definedName>
    <definedName name="Z_C62832D5_F792_42E8_A1FD_DB7E32F4533C_.wvu.Rows" localSheetId="4" hidden="1">'HT flujo efectivo'!#REF!</definedName>
    <definedName name="Z_C62832D5_F792_42E8_A1FD_DB7E32F4533C_.wvu.Rows" localSheetId="2" hidden="1">Patrimonio!#REF!</definedName>
    <definedName name="Z_E78DA86F_912B_4819_B533_2F9A5214D6CC_.wvu.Cols" localSheetId="0" hidden="1">'Estado de situación financiera'!#REF!</definedName>
    <definedName name="Z_E78DA86F_912B_4819_B533_2F9A5214D6CC_.wvu.Cols" localSheetId="1" hidden="1">'Estado ganancias o pérdidas'!$U:$X</definedName>
    <definedName name="Z_E78DA86F_912B_4819_B533_2F9A5214D6CC_.wvu.Cols" localSheetId="2" hidden="1">Patrimonio!$G:$H,Patrimonio!$Q:$Q</definedName>
    <definedName name="Z_E78DA86F_912B_4819_B533_2F9A5214D6CC_.wvu.PrintArea" localSheetId="0" hidden="1">'Estado de situación financiera'!$A$1:$K$46</definedName>
    <definedName name="Z_E78DA86F_912B_4819_B533_2F9A5214D6CC_.wvu.PrintArea" localSheetId="1" hidden="1">'Estado ganancias o pérdidas'!$A$1:$L$61</definedName>
    <definedName name="Z_E78DA86F_912B_4819_B533_2F9A5214D6CC_.wvu.PrintArea" localSheetId="3" hidden="1">'Flujo de efectivo'!$A$1:$F$58</definedName>
    <definedName name="Z_E78DA86F_912B_4819_B533_2F9A5214D6CC_.wvu.PrintArea" localSheetId="2" hidden="1">Patrimonio!$A$1:$P$40</definedName>
    <definedName name="Z_E78DA86F_912B_4819_B533_2F9A5214D6CC_.wvu.Rows" localSheetId="0" hidden="1">'Estado de situación financiera'!#REF!</definedName>
    <definedName name="Z_E78DA86F_912B_4819_B533_2F9A5214D6CC_.wvu.Rows" localSheetId="1" hidden="1">'Estado ganancias o pérdidas'!#REF!</definedName>
    <definedName name="Z_E78DA86F_912B_4819_B533_2F9A5214D6CC_.wvu.Rows" localSheetId="3" hidden="1">'Flujo de efectivo'!#REF!,'Flujo de efectivo'!#REF!</definedName>
    <definedName name="Z_E78DA86F_912B_4819_B533_2F9A5214D6CC_.wvu.Rows" localSheetId="4" hidden="1">'HT flujo efectivo'!#REF!</definedName>
    <definedName name="Z_E78DA86F_912B_4819_B533_2F9A5214D6CC_.wvu.Rows" localSheetId="2" hidden="1">Patrimonio!#REF!</definedName>
    <definedName name="Z_F3A8BDA1_3217_4EFF_A17B_A564B145768F_.wvu.Cols" localSheetId="0" hidden="1">'Estado de situación financiera'!#REF!</definedName>
    <definedName name="Z_F3A8BDA1_3217_4EFF_A17B_A564B145768F_.wvu.Cols" localSheetId="1" hidden="1">'Estado ganancias o pérdidas'!$U:$X</definedName>
    <definedName name="Z_F3A8BDA1_3217_4EFF_A17B_A564B145768F_.wvu.Cols" localSheetId="2" hidden="1">Patrimonio!$G:$H,Patrimonio!$Q:$Q</definedName>
    <definedName name="Z_F3A8BDA1_3217_4EFF_A17B_A564B145768F_.wvu.PrintArea" localSheetId="0" hidden="1">'Estado de situación financiera'!$A$1:$K$46</definedName>
    <definedName name="Z_F3A8BDA1_3217_4EFF_A17B_A564B145768F_.wvu.PrintArea" localSheetId="1" hidden="1">'Estado ganancias o pérdidas'!$A$1:$L$61</definedName>
    <definedName name="Z_F3A8BDA1_3217_4EFF_A17B_A564B145768F_.wvu.PrintArea" localSheetId="3" hidden="1">'Flujo de efectivo'!$A$1:$F$58</definedName>
    <definedName name="Z_F3A8BDA1_3217_4EFF_A17B_A564B145768F_.wvu.PrintArea" localSheetId="2" hidden="1">Patrimonio!$A$1:$P$40</definedName>
    <definedName name="Z_F3A8BDA1_3217_4EFF_A17B_A564B145768F_.wvu.Rows" localSheetId="0" hidden="1">'Estado de situación financiera'!#REF!</definedName>
    <definedName name="Z_F3A8BDA1_3217_4EFF_A17B_A564B145768F_.wvu.Rows" localSheetId="1" hidden="1">'Estado ganancias o pérdidas'!#REF!</definedName>
    <definedName name="Z_F3A8BDA1_3217_4EFF_A17B_A564B145768F_.wvu.Rows" localSheetId="3" hidden="1">'Flujo de efectivo'!#REF!,'Flujo de efectivo'!#REF!</definedName>
    <definedName name="Z_F3A8BDA1_3217_4EFF_A17B_A564B145768F_.wvu.Rows" localSheetId="4" hidden="1">'HT flujo efectivo'!#REF!</definedName>
    <definedName name="Z_F3A8BDA1_3217_4EFF_A17B_A564B145768F_.wvu.Rows" localSheetId="2" hidden="1">Patrimonio!#REF!</definedName>
    <definedName name="Z_F3AE1BB9_939C_42AE_B91D_51D0CC290EAD_.wvu.Cols" localSheetId="0" hidden="1">'Estado de situación financiera'!#REF!</definedName>
    <definedName name="Z_F3AE1BB9_939C_42AE_B91D_51D0CC290EAD_.wvu.Cols" localSheetId="1" hidden="1">'Estado ganancias o pérdidas'!$U:$X</definedName>
    <definedName name="Z_F3AE1BB9_939C_42AE_B91D_51D0CC290EAD_.wvu.Cols" localSheetId="2" hidden="1">Patrimonio!$G:$H,Patrimonio!$Q:$Q</definedName>
    <definedName name="Z_F3AE1BB9_939C_42AE_B91D_51D0CC290EAD_.wvu.PrintArea" localSheetId="0" hidden="1">'Estado de situación financiera'!$A$1:$K$46</definedName>
    <definedName name="Z_F3AE1BB9_939C_42AE_B91D_51D0CC290EAD_.wvu.PrintArea" localSheetId="1" hidden="1">'Estado ganancias o pérdidas'!$A$1:$L$61</definedName>
    <definedName name="Z_F3AE1BB9_939C_42AE_B91D_51D0CC290EAD_.wvu.PrintArea" localSheetId="3" hidden="1">'Flujo de efectivo'!$A$1:$F$58</definedName>
    <definedName name="Z_F3AE1BB9_939C_42AE_B91D_51D0CC290EAD_.wvu.PrintArea" localSheetId="2" hidden="1">Patrimonio!$A$1:$P$40</definedName>
    <definedName name="Z_F3AE1BB9_939C_42AE_B91D_51D0CC290EAD_.wvu.Rows" localSheetId="0" hidden="1">'Estado de situación financiera'!#REF!</definedName>
    <definedName name="Z_F3AE1BB9_939C_42AE_B91D_51D0CC290EAD_.wvu.Rows" localSheetId="1" hidden="1">'Estado ganancias o pérdidas'!#REF!</definedName>
    <definedName name="Z_F3AE1BB9_939C_42AE_B91D_51D0CC290EAD_.wvu.Rows" localSheetId="3" hidden="1">'Flujo de efectivo'!#REF!,'Flujo de efectivo'!#REF!</definedName>
    <definedName name="Z_F3AE1BB9_939C_42AE_B91D_51D0CC290EAD_.wvu.Rows" localSheetId="4" hidden="1">'HT flujo efectivo'!#REF!</definedName>
    <definedName name="Z_F3AE1BB9_939C_42AE_B91D_51D0CC290EAD_.wvu.Rows" localSheetId="2" hidden="1">Patrimonio!#REF!</definedName>
  </definedNames>
  <calcPr calcId="171027"/>
  <pivotCaches>
    <pivotCache cacheId="0" r:id="rId33"/>
  </pivotCaches>
</workbook>
</file>

<file path=xl/calcChain.xml><?xml version="1.0" encoding="utf-8"?>
<calcChain xmlns="http://schemas.openxmlformats.org/spreadsheetml/2006/main">
  <c r="F32" i="4" l="1"/>
  <c r="F37" i="4"/>
  <c r="D11" i="5"/>
  <c r="D12" i="5"/>
  <c r="H39" i="5"/>
  <c r="F9" i="5"/>
  <c r="I9" i="5" s="1"/>
  <c r="J9" i="5" s="1"/>
  <c r="H43" i="5"/>
  <c r="G11" i="5"/>
  <c r="J43" i="5"/>
  <c r="K80" i="5"/>
  <c r="K81" i="5"/>
  <c r="K82" i="5"/>
  <c r="K79" i="5"/>
  <c r="D19" i="5"/>
  <c r="B51" i="5"/>
  <c r="D17" i="4"/>
  <c r="J79" i="5"/>
  <c r="J82" i="5"/>
  <c r="J81" i="5"/>
  <c r="J80" i="5"/>
  <c r="J83" i="5" s="1"/>
  <c r="G61" i="5"/>
  <c r="J79" i="16"/>
  <c r="J77" i="16"/>
  <c r="I77" i="16"/>
  <c r="K76" i="16"/>
  <c r="K75" i="16"/>
  <c r="K74" i="16"/>
  <c r="K73" i="16"/>
  <c r="K72" i="16"/>
  <c r="K71" i="16"/>
  <c r="M72" i="16"/>
  <c r="N73" i="16" s="1"/>
  <c r="B69" i="16"/>
  <c r="G42" i="5" s="1"/>
  <c r="J42" i="5" s="1"/>
  <c r="D23" i="4" s="1"/>
  <c r="H23" i="4" s="1"/>
  <c r="K63" i="16"/>
  <c r="K62" i="16"/>
  <c r="K61" i="16"/>
  <c r="K60" i="16"/>
  <c r="K59" i="16"/>
  <c r="K58" i="16"/>
  <c r="K57" i="16"/>
  <c r="K56" i="16"/>
  <c r="AG51" i="16"/>
  <c r="AT49" i="16"/>
  <c r="B73" i="16" s="1"/>
  <c r="G41" i="5" s="1"/>
  <c r="AS48" i="16"/>
  <c r="AR48" i="16"/>
  <c r="AU48" i="16" s="1"/>
  <c r="AS47" i="16"/>
  <c r="AR47" i="16"/>
  <c r="AU47" i="16" s="1"/>
  <c r="AS46" i="16"/>
  <c r="AR46" i="16"/>
  <c r="AU46" i="16" s="1"/>
  <c r="AS45" i="16"/>
  <c r="AR45" i="16"/>
  <c r="AU45" i="16" s="1"/>
  <c r="AS44" i="16"/>
  <c r="AR44" i="16"/>
  <c r="AU44" i="16" s="1"/>
  <c r="AS43" i="16"/>
  <c r="AR43" i="16"/>
  <c r="AU43" i="16" s="1"/>
  <c r="AS42" i="16"/>
  <c r="AR42" i="16"/>
  <c r="AU42" i="16" s="1"/>
  <c r="AS41" i="16"/>
  <c r="AR41" i="16"/>
  <c r="AU41" i="16" s="1"/>
  <c r="AS40" i="16"/>
  <c r="AR40" i="16"/>
  <c r="AU40" i="16" s="1"/>
  <c r="AS39" i="16"/>
  <c r="AR39" i="16"/>
  <c r="AU39" i="16" s="1"/>
  <c r="AS38" i="16"/>
  <c r="AR38" i="16"/>
  <c r="AU38" i="16" s="1"/>
  <c r="AS37" i="16"/>
  <c r="AR37" i="16"/>
  <c r="AU37" i="16" s="1"/>
  <c r="AS36" i="16"/>
  <c r="AR36" i="16"/>
  <c r="AU36" i="16" s="1"/>
  <c r="AS35" i="16"/>
  <c r="AR35" i="16"/>
  <c r="AU35" i="16" s="1"/>
  <c r="AS34" i="16"/>
  <c r="AR34" i="16"/>
  <c r="AU34" i="16" s="1"/>
  <c r="AS33" i="16"/>
  <c r="AR33" i="16"/>
  <c r="AU33" i="16" s="1"/>
  <c r="AS32" i="16"/>
  <c r="AR32" i="16"/>
  <c r="AU32" i="16" s="1"/>
  <c r="AS31" i="16"/>
  <c r="AR31" i="16"/>
  <c r="AU31" i="16" s="1"/>
  <c r="AS30" i="16"/>
  <c r="AR30" i="16"/>
  <c r="AU30" i="16" s="1"/>
  <c r="AS29" i="16"/>
  <c r="AR29" i="16"/>
  <c r="AU29" i="16" s="1"/>
  <c r="AS28" i="16"/>
  <c r="AR28" i="16"/>
  <c r="AU28" i="16" s="1"/>
  <c r="AS27" i="16"/>
  <c r="AR27" i="16"/>
  <c r="AU27" i="16" s="1"/>
  <c r="AS26" i="16"/>
  <c r="AR26" i="16"/>
  <c r="AU26" i="16" s="1"/>
  <c r="AS25" i="16"/>
  <c r="AR25" i="16"/>
  <c r="AU25" i="16" s="1"/>
  <c r="AS24" i="16"/>
  <c r="AR24" i="16"/>
  <c r="AU24" i="16" s="1"/>
  <c r="AS23" i="16"/>
  <c r="AR23" i="16"/>
  <c r="AU23" i="16" s="1"/>
  <c r="AG20" i="16"/>
  <c r="AB20" i="16"/>
  <c r="AR18" i="16"/>
  <c r="AR17" i="16"/>
  <c r="AR16" i="16"/>
  <c r="AR15" i="16"/>
  <c r="AR14" i="16"/>
  <c r="AR13" i="16"/>
  <c r="AR12" i="16"/>
  <c r="AR11" i="16"/>
  <c r="AR10" i="16"/>
  <c r="AR9" i="16"/>
  <c r="AR8" i="16"/>
  <c r="AR7" i="16"/>
  <c r="AR6" i="16"/>
  <c r="AR5" i="16"/>
  <c r="AR4" i="16"/>
  <c r="AR3" i="16"/>
  <c r="N72" i="16"/>
  <c r="M190" i="5"/>
  <c r="B57" i="5" s="1"/>
  <c r="L190" i="5"/>
  <c r="B58" i="5" s="1"/>
  <c r="B66" i="5"/>
  <c r="F66" i="5"/>
  <c r="N32" i="3"/>
  <c r="P32" i="3" s="1"/>
  <c r="G58" i="9"/>
  <c r="G193" i="6"/>
  <c r="D193" i="6" s="1"/>
  <c r="G194" i="6"/>
  <c r="D194" i="6" s="1"/>
  <c r="I111" i="6"/>
  <c r="I112" i="6" s="1"/>
  <c r="H111" i="6"/>
  <c r="J111" i="6"/>
  <c r="H50" i="6"/>
  <c r="I50" i="6"/>
  <c r="J50" i="6"/>
  <c r="X18" i="2"/>
  <c r="J36" i="3"/>
  <c r="F36" i="3"/>
  <c r="D36" i="3"/>
  <c r="B36" i="3"/>
  <c r="W18" i="15"/>
  <c r="D25" i="4"/>
  <c r="W12" i="15"/>
  <c r="V5" i="15"/>
  <c r="U12" i="15"/>
  <c r="S704" i="15"/>
  <c r="R704" i="15"/>
  <c r="S703" i="15"/>
  <c r="R703" i="15"/>
  <c r="S702" i="15"/>
  <c r="R702" i="15"/>
  <c r="S701" i="15"/>
  <c r="R701" i="15"/>
  <c r="S700" i="15"/>
  <c r="R700" i="15"/>
  <c r="S699" i="15"/>
  <c r="R699" i="15"/>
  <c r="S698" i="15"/>
  <c r="R698" i="15"/>
  <c r="S697" i="15"/>
  <c r="R697" i="15"/>
  <c r="S696" i="15"/>
  <c r="R696" i="15"/>
  <c r="S695" i="15"/>
  <c r="R695" i="15"/>
  <c r="S694" i="15"/>
  <c r="R694" i="15"/>
  <c r="S693" i="15"/>
  <c r="R693" i="15"/>
  <c r="S692" i="15"/>
  <c r="R692" i="15"/>
  <c r="S691" i="15"/>
  <c r="R691" i="15"/>
  <c r="S690" i="15"/>
  <c r="R690" i="15"/>
  <c r="S689" i="15"/>
  <c r="R689" i="15"/>
  <c r="S688" i="15"/>
  <c r="R688" i="15"/>
  <c r="S687" i="15"/>
  <c r="R687" i="15"/>
  <c r="S686" i="15"/>
  <c r="R686" i="15"/>
  <c r="S685" i="15"/>
  <c r="R685" i="15"/>
  <c r="S684" i="15"/>
  <c r="R684" i="15"/>
  <c r="S683" i="15"/>
  <c r="R683" i="15"/>
  <c r="S682" i="15"/>
  <c r="R682" i="15"/>
  <c r="S681" i="15"/>
  <c r="R681" i="15"/>
  <c r="S680" i="15"/>
  <c r="R680" i="15"/>
  <c r="S679" i="15"/>
  <c r="R679" i="15"/>
  <c r="S678" i="15"/>
  <c r="R678" i="15"/>
  <c r="S677" i="15"/>
  <c r="R677" i="15"/>
  <c r="S676" i="15"/>
  <c r="R676" i="15"/>
  <c r="S675" i="15"/>
  <c r="R675" i="15"/>
  <c r="S674" i="15"/>
  <c r="R674" i="15"/>
  <c r="S673" i="15"/>
  <c r="R673" i="15"/>
  <c r="S672" i="15"/>
  <c r="R672" i="15"/>
  <c r="S671" i="15"/>
  <c r="R671" i="15"/>
  <c r="S670" i="15"/>
  <c r="R670" i="15"/>
  <c r="S669" i="15"/>
  <c r="R669" i="15"/>
  <c r="S668" i="15"/>
  <c r="R668" i="15"/>
  <c r="S667" i="15"/>
  <c r="R667" i="15"/>
  <c r="S666" i="15"/>
  <c r="R666" i="15"/>
  <c r="S665" i="15"/>
  <c r="R665" i="15"/>
  <c r="S664" i="15"/>
  <c r="R664" i="15"/>
  <c r="S663" i="15"/>
  <c r="R663" i="15"/>
  <c r="S662" i="15"/>
  <c r="R662" i="15"/>
  <c r="S661" i="15"/>
  <c r="R661" i="15"/>
  <c r="S660" i="15"/>
  <c r="R660" i="15"/>
  <c r="S659" i="15"/>
  <c r="R659" i="15"/>
  <c r="S658" i="15"/>
  <c r="R658" i="15"/>
  <c r="S657" i="15"/>
  <c r="R657" i="15"/>
  <c r="S656" i="15"/>
  <c r="R656" i="15"/>
  <c r="S655" i="15"/>
  <c r="R655" i="15"/>
  <c r="S654" i="15"/>
  <c r="R654" i="15"/>
  <c r="S653" i="15"/>
  <c r="R653" i="15"/>
  <c r="S652" i="15"/>
  <c r="R652" i="15"/>
  <c r="S651" i="15"/>
  <c r="R651" i="15"/>
  <c r="S650" i="15"/>
  <c r="R650" i="15"/>
  <c r="S649" i="15"/>
  <c r="R649" i="15"/>
  <c r="S648" i="15"/>
  <c r="R648" i="15"/>
  <c r="S647" i="15"/>
  <c r="R647" i="15"/>
  <c r="S646" i="15"/>
  <c r="R646" i="15"/>
  <c r="S645" i="15"/>
  <c r="R645" i="15"/>
  <c r="S644" i="15"/>
  <c r="R644" i="15"/>
  <c r="S643" i="15"/>
  <c r="R643" i="15"/>
  <c r="S642" i="15"/>
  <c r="R642" i="15"/>
  <c r="S641" i="15"/>
  <c r="R641" i="15"/>
  <c r="S640" i="15"/>
  <c r="R640" i="15"/>
  <c r="S639" i="15"/>
  <c r="R639" i="15"/>
  <c r="S638" i="15"/>
  <c r="R638" i="15"/>
  <c r="S637" i="15"/>
  <c r="R637" i="15"/>
  <c r="S636" i="15"/>
  <c r="R636" i="15"/>
  <c r="S635" i="15"/>
  <c r="R635" i="15"/>
  <c r="S634" i="15"/>
  <c r="R634" i="15"/>
  <c r="S633" i="15"/>
  <c r="R633" i="15"/>
  <c r="S632" i="15"/>
  <c r="R632" i="15"/>
  <c r="S631" i="15"/>
  <c r="R631" i="15"/>
  <c r="S630" i="15"/>
  <c r="R630" i="15"/>
  <c r="S629" i="15"/>
  <c r="R629" i="15"/>
  <c r="S628" i="15"/>
  <c r="R628" i="15"/>
  <c r="S627" i="15"/>
  <c r="R627" i="15"/>
  <c r="S626" i="15"/>
  <c r="R626" i="15"/>
  <c r="S625" i="15"/>
  <c r="R625" i="15"/>
  <c r="S624" i="15"/>
  <c r="R624" i="15"/>
  <c r="S623" i="15"/>
  <c r="R623" i="15"/>
  <c r="S622" i="15"/>
  <c r="R622" i="15"/>
  <c r="S621" i="15"/>
  <c r="R621" i="15"/>
  <c r="S620" i="15"/>
  <c r="R620" i="15"/>
  <c r="S619" i="15"/>
  <c r="R619" i="15"/>
  <c r="S618" i="15"/>
  <c r="R618" i="15"/>
  <c r="S617" i="15"/>
  <c r="R617" i="15"/>
  <c r="S616" i="15"/>
  <c r="R616" i="15"/>
  <c r="S615" i="15"/>
  <c r="R615" i="15"/>
  <c r="S614" i="15"/>
  <c r="R614" i="15"/>
  <c r="S613" i="15"/>
  <c r="R613" i="15"/>
  <c r="S612" i="15"/>
  <c r="R612" i="15"/>
  <c r="S611" i="15"/>
  <c r="R611" i="15"/>
  <c r="S610" i="15"/>
  <c r="R610" i="15"/>
  <c r="S609" i="15"/>
  <c r="R609" i="15"/>
  <c r="S608" i="15"/>
  <c r="R608" i="15"/>
  <c r="S607" i="15"/>
  <c r="R607" i="15"/>
  <c r="S606" i="15"/>
  <c r="R606" i="15"/>
  <c r="S605" i="15"/>
  <c r="R605" i="15"/>
  <c r="S604" i="15"/>
  <c r="R604" i="15"/>
  <c r="S603" i="15"/>
  <c r="R603" i="15"/>
  <c r="S602" i="15"/>
  <c r="R602" i="15"/>
  <c r="S601" i="15"/>
  <c r="R601" i="15"/>
  <c r="S600" i="15"/>
  <c r="R600" i="15"/>
  <c r="S599" i="15"/>
  <c r="R599" i="15"/>
  <c r="S598" i="15"/>
  <c r="R598" i="15"/>
  <c r="S597" i="15"/>
  <c r="R597" i="15"/>
  <c r="S596" i="15"/>
  <c r="R596" i="15"/>
  <c r="S595" i="15"/>
  <c r="R595" i="15"/>
  <c r="S594" i="15"/>
  <c r="R594" i="15"/>
  <c r="S593" i="15"/>
  <c r="R593" i="15"/>
  <c r="S592" i="15"/>
  <c r="R592" i="15"/>
  <c r="S591" i="15"/>
  <c r="R591" i="15"/>
  <c r="S590" i="15"/>
  <c r="R590" i="15"/>
  <c r="S589" i="15"/>
  <c r="R589" i="15"/>
  <c r="S588" i="15"/>
  <c r="R588" i="15"/>
  <c r="S587" i="15"/>
  <c r="R587" i="15"/>
  <c r="S586" i="15"/>
  <c r="R586" i="15"/>
  <c r="S585" i="15"/>
  <c r="R585" i="15"/>
  <c r="S584" i="15"/>
  <c r="R584" i="15"/>
  <c r="S583" i="15"/>
  <c r="R583" i="15"/>
  <c r="S582" i="15"/>
  <c r="R582" i="15"/>
  <c r="S581" i="15"/>
  <c r="R581" i="15"/>
  <c r="S580" i="15"/>
  <c r="R580" i="15"/>
  <c r="S579" i="15"/>
  <c r="R579" i="15"/>
  <c r="S578" i="15"/>
  <c r="R578" i="15"/>
  <c r="S577" i="15"/>
  <c r="R577" i="15"/>
  <c r="S576" i="15"/>
  <c r="R576" i="15"/>
  <c r="S575" i="15"/>
  <c r="R575" i="15"/>
  <c r="S574" i="15"/>
  <c r="R574" i="15"/>
  <c r="S573" i="15"/>
  <c r="R573" i="15"/>
  <c r="S572" i="15"/>
  <c r="R572" i="15"/>
  <c r="S571" i="15"/>
  <c r="R571" i="15"/>
  <c r="S570" i="15"/>
  <c r="R570" i="15"/>
  <c r="S569" i="15"/>
  <c r="R569" i="15"/>
  <c r="S568" i="15"/>
  <c r="R568" i="15"/>
  <c r="S567" i="15"/>
  <c r="R567" i="15"/>
  <c r="S566" i="15"/>
  <c r="R566" i="15"/>
  <c r="S565" i="15"/>
  <c r="R565" i="15"/>
  <c r="S564" i="15"/>
  <c r="R564" i="15"/>
  <c r="S563" i="15"/>
  <c r="R563" i="15"/>
  <c r="S562" i="15"/>
  <c r="R562" i="15"/>
  <c r="S561" i="15"/>
  <c r="R561" i="15"/>
  <c r="S560" i="15"/>
  <c r="R560" i="15"/>
  <c r="S559" i="15"/>
  <c r="R559" i="15"/>
  <c r="S558" i="15"/>
  <c r="R558" i="15"/>
  <c r="S557" i="15"/>
  <c r="R557" i="15"/>
  <c r="S556" i="15"/>
  <c r="R556" i="15"/>
  <c r="S555" i="15"/>
  <c r="R555" i="15"/>
  <c r="S554" i="15"/>
  <c r="R554" i="15"/>
  <c r="S553" i="15"/>
  <c r="R553" i="15"/>
  <c r="S552" i="15"/>
  <c r="R552" i="15"/>
  <c r="S551" i="15"/>
  <c r="R551" i="15"/>
  <c r="S550" i="15"/>
  <c r="R550" i="15"/>
  <c r="S549" i="15"/>
  <c r="R549" i="15"/>
  <c r="S548" i="15"/>
  <c r="R548" i="15"/>
  <c r="S547" i="15"/>
  <c r="R547" i="15"/>
  <c r="S546" i="15"/>
  <c r="R546" i="15"/>
  <c r="S545" i="15"/>
  <c r="R545" i="15"/>
  <c r="S544" i="15"/>
  <c r="R544" i="15"/>
  <c r="S543" i="15"/>
  <c r="R543" i="15"/>
  <c r="S542" i="15"/>
  <c r="R542" i="15"/>
  <c r="S541" i="15"/>
  <c r="R541" i="15"/>
  <c r="S540" i="15"/>
  <c r="R540" i="15"/>
  <c r="S539" i="15"/>
  <c r="R539" i="15"/>
  <c r="S538" i="15"/>
  <c r="R538" i="15"/>
  <c r="S537" i="15"/>
  <c r="R537" i="15"/>
  <c r="S536" i="15"/>
  <c r="R536" i="15"/>
  <c r="S535" i="15"/>
  <c r="R535" i="15"/>
  <c r="S534" i="15"/>
  <c r="R534" i="15"/>
  <c r="S533" i="15"/>
  <c r="R533" i="15"/>
  <c r="S532" i="15"/>
  <c r="R532" i="15"/>
  <c r="S531" i="15"/>
  <c r="R531" i="15"/>
  <c r="S530" i="15"/>
  <c r="R530" i="15"/>
  <c r="S529" i="15"/>
  <c r="R529" i="15"/>
  <c r="S528" i="15"/>
  <c r="R528" i="15"/>
  <c r="S527" i="15"/>
  <c r="R527" i="15"/>
  <c r="S526" i="15"/>
  <c r="R526" i="15"/>
  <c r="S525" i="15"/>
  <c r="R525" i="15"/>
  <c r="S524" i="15"/>
  <c r="R524" i="15"/>
  <c r="S523" i="15"/>
  <c r="R523" i="15"/>
  <c r="S522" i="15"/>
  <c r="R522" i="15"/>
  <c r="S521" i="15"/>
  <c r="R521" i="15"/>
  <c r="S520" i="15"/>
  <c r="R520" i="15"/>
  <c r="S519" i="15"/>
  <c r="R519" i="15"/>
  <c r="S518" i="15"/>
  <c r="R518" i="15"/>
  <c r="S517" i="15"/>
  <c r="R517" i="15"/>
  <c r="S516" i="15"/>
  <c r="R516" i="15"/>
  <c r="S515" i="15"/>
  <c r="R515" i="15"/>
  <c r="S514" i="15"/>
  <c r="R514" i="15"/>
  <c r="S513" i="15"/>
  <c r="R513" i="15"/>
  <c r="S512" i="15"/>
  <c r="R512" i="15"/>
  <c r="S511" i="15"/>
  <c r="R511" i="15"/>
  <c r="S510" i="15"/>
  <c r="R510" i="15"/>
  <c r="S509" i="15"/>
  <c r="R509" i="15"/>
  <c r="S508" i="15"/>
  <c r="R508" i="15"/>
  <c r="S507" i="15"/>
  <c r="R507" i="15"/>
  <c r="S506" i="15"/>
  <c r="R506" i="15"/>
  <c r="S505" i="15"/>
  <c r="R505" i="15"/>
  <c r="S504" i="15"/>
  <c r="R504" i="15"/>
  <c r="S503" i="15"/>
  <c r="R503" i="15"/>
  <c r="S502" i="15"/>
  <c r="R502" i="15"/>
  <c r="S501" i="15"/>
  <c r="R501" i="15"/>
  <c r="S500" i="15"/>
  <c r="R500" i="15"/>
  <c r="S499" i="15"/>
  <c r="R499" i="15"/>
  <c r="S498" i="15"/>
  <c r="R498" i="15"/>
  <c r="S497" i="15"/>
  <c r="R497" i="15"/>
  <c r="S496" i="15"/>
  <c r="R496" i="15"/>
  <c r="S495" i="15"/>
  <c r="R495" i="15"/>
  <c r="S494" i="15"/>
  <c r="R494" i="15"/>
  <c r="S493" i="15"/>
  <c r="R493" i="15"/>
  <c r="S492" i="15"/>
  <c r="R492" i="15"/>
  <c r="S491" i="15"/>
  <c r="R491" i="15"/>
  <c r="S490" i="15"/>
  <c r="R490" i="15"/>
  <c r="S489" i="15"/>
  <c r="R489" i="15"/>
  <c r="S488" i="15"/>
  <c r="R488" i="15"/>
  <c r="S487" i="15"/>
  <c r="R487" i="15"/>
  <c r="S486" i="15"/>
  <c r="R486" i="15"/>
  <c r="S485" i="15"/>
  <c r="R485" i="15"/>
  <c r="S484" i="15"/>
  <c r="R484" i="15"/>
  <c r="S483" i="15"/>
  <c r="R483" i="15"/>
  <c r="S482" i="15"/>
  <c r="R482" i="15"/>
  <c r="S481" i="15"/>
  <c r="R481" i="15"/>
  <c r="S480" i="15"/>
  <c r="R480" i="15"/>
  <c r="S479" i="15"/>
  <c r="R479" i="15"/>
  <c r="S478" i="15"/>
  <c r="R478" i="15"/>
  <c r="S477" i="15"/>
  <c r="R477" i="15"/>
  <c r="S476" i="15"/>
  <c r="R476" i="15"/>
  <c r="S475" i="15"/>
  <c r="R475" i="15"/>
  <c r="S474" i="15"/>
  <c r="R474" i="15"/>
  <c r="S473" i="15"/>
  <c r="R473" i="15"/>
  <c r="S472" i="15"/>
  <c r="R472" i="15"/>
  <c r="S471" i="15"/>
  <c r="R471" i="15"/>
  <c r="S470" i="15"/>
  <c r="R470" i="15"/>
  <c r="S469" i="15"/>
  <c r="R469" i="15"/>
  <c r="S468" i="15"/>
  <c r="R468" i="15"/>
  <c r="S467" i="15"/>
  <c r="R467" i="15"/>
  <c r="S466" i="15"/>
  <c r="R466" i="15"/>
  <c r="S465" i="15"/>
  <c r="R465" i="15"/>
  <c r="S464" i="15"/>
  <c r="R464" i="15"/>
  <c r="S463" i="15"/>
  <c r="R463" i="15"/>
  <c r="S462" i="15"/>
  <c r="R462" i="15"/>
  <c r="S461" i="15"/>
  <c r="R461" i="15"/>
  <c r="S460" i="15"/>
  <c r="R460" i="15"/>
  <c r="S459" i="15"/>
  <c r="R459" i="15"/>
  <c r="S458" i="15"/>
  <c r="R458" i="15"/>
  <c r="S457" i="15"/>
  <c r="R457" i="15"/>
  <c r="S456" i="15"/>
  <c r="R456" i="15"/>
  <c r="S455" i="15"/>
  <c r="R455" i="15"/>
  <c r="S454" i="15"/>
  <c r="R454" i="15"/>
  <c r="S453" i="15"/>
  <c r="R453" i="15"/>
  <c r="S452" i="15"/>
  <c r="R452" i="15"/>
  <c r="S451" i="15"/>
  <c r="R451" i="15"/>
  <c r="S450" i="15"/>
  <c r="R450" i="15"/>
  <c r="S449" i="15"/>
  <c r="R449" i="15"/>
  <c r="S448" i="15"/>
  <c r="R448" i="15"/>
  <c r="S447" i="15"/>
  <c r="R447" i="15"/>
  <c r="S446" i="15"/>
  <c r="R446" i="15"/>
  <c r="S445" i="15"/>
  <c r="R445" i="15"/>
  <c r="S444" i="15"/>
  <c r="R444" i="15"/>
  <c r="S443" i="15"/>
  <c r="R443" i="15"/>
  <c r="S442" i="15"/>
  <c r="R442" i="15"/>
  <c r="S441" i="15"/>
  <c r="R441" i="15"/>
  <c r="S440" i="15"/>
  <c r="R440" i="15"/>
  <c r="S439" i="15"/>
  <c r="R439" i="15"/>
  <c r="S438" i="15"/>
  <c r="R438" i="15"/>
  <c r="S437" i="15"/>
  <c r="R437" i="15"/>
  <c r="S436" i="15"/>
  <c r="R436" i="15"/>
  <c r="S435" i="15"/>
  <c r="R435" i="15"/>
  <c r="S434" i="15"/>
  <c r="R434" i="15"/>
  <c r="S433" i="15"/>
  <c r="R433" i="15"/>
  <c r="S432" i="15"/>
  <c r="R432" i="15"/>
  <c r="S431" i="15"/>
  <c r="R431" i="15"/>
  <c r="S430" i="15"/>
  <c r="R430" i="15"/>
  <c r="S429" i="15"/>
  <c r="R429" i="15"/>
  <c r="S428" i="15"/>
  <c r="R428" i="15"/>
  <c r="S427" i="15"/>
  <c r="R427" i="15"/>
  <c r="S426" i="15"/>
  <c r="R426" i="15"/>
  <c r="S425" i="15"/>
  <c r="R425" i="15"/>
  <c r="S424" i="15"/>
  <c r="R424" i="15"/>
  <c r="S423" i="15"/>
  <c r="R423" i="15"/>
  <c r="S422" i="15"/>
  <c r="R422" i="15"/>
  <c r="S421" i="15"/>
  <c r="R421" i="15"/>
  <c r="S420" i="15"/>
  <c r="R420" i="15"/>
  <c r="S419" i="15"/>
  <c r="R419" i="15"/>
  <c r="S418" i="15"/>
  <c r="R418" i="15"/>
  <c r="S417" i="15"/>
  <c r="R417" i="15"/>
  <c r="S416" i="15"/>
  <c r="R416" i="15"/>
  <c r="S415" i="15"/>
  <c r="R415" i="15"/>
  <c r="S414" i="15"/>
  <c r="R414" i="15"/>
  <c r="S413" i="15"/>
  <c r="R413" i="15"/>
  <c r="S412" i="15"/>
  <c r="R412" i="15"/>
  <c r="S411" i="15"/>
  <c r="R411" i="15"/>
  <c r="S410" i="15"/>
  <c r="R410" i="15"/>
  <c r="S409" i="15"/>
  <c r="R409" i="15"/>
  <c r="S408" i="15"/>
  <c r="R408" i="15"/>
  <c r="S407" i="15"/>
  <c r="R407" i="15"/>
  <c r="S406" i="15"/>
  <c r="R406" i="15"/>
  <c r="S405" i="15"/>
  <c r="R405" i="15"/>
  <c r="S404" i="15"/>
  <c r="R404" i="15"/>
  <c r="S403" i="15"/>
  <c r="R403" i="15"/>
  <c r="S402" i="15"/>
  <c r="R402" i="15"/>
  <c r="S401" i="15"/>
  <c r="R401" i="15"/>
  <c r="S400" i="15"/>
  <c r="R400" i="15"/>
  <c r="S399" i="15"/>
  <c r="R399" i="15"/>
  <c r="S398" i="15"/>
  <c r="R398" i="15"/>
  <c r="S397" i="15"/>
  <c r="R397" i="15"/>
  <c r="S396" i="15"/>
  <c r="R396" i="15"/>
  <c r="S395" i="15"/>
  <c r="R395" i="15"/>
  <c r="S394" i="15"/>
  <c r="R394" i="15"/>
  <c r="S393" i="15"/>
  <c r="R393" i="15"/>
  <c r="S392" i="15"/>
  <c r="R392" i="15"/>
  <c r="S391" i="15"/>
  <c r="R391" i="15"/>
  <c r="S390" i="15"/>
  <c r="R390" i="15"/>
  <c r="S389" i="15"/>
  <c r="R389" i="15"/>
  <c r="S388" i="15"/>
  <c r="R388" i="15"/>
  <c r="S387" i="15"/>
  <c r="R387" i="15"/>
  <c r="S386" i="15"/>
  <c r="R386" i="15"/>
  <c r="S385" i="15"/>
  <c r="R385" i="15"/>
  <c r="S384" i="15"/>
  <c r="R384" i="15"/>
  <c r="S383" i="15"/>
  <c r="R383" i="15"/>
  <c r="S382" i="15"/>
  <c r="R382" i="15"/>
  <c r="S381" i="15"/>
  <c r="R381" i="15"/>
  <c r="S380" i="15"/>
  <c r="R380" i="15"/>
  <c r="S379" i="15"/>
  <c r="R379" i="15"/>
  <c r="S378" i="15"/>
  <c r="R378" i="15"/>
  <c r="S377" i="15"/>
  <c r="R377" i="15"/>
  <c r="S376" i="15"/>
  <c r="R376" i="15"/>
  <c r="S375" i="15"/>
  <c r="R375" i="15"/>
  <c r="S374" i="15"/>
  <c r="R374" i="15"/>
  <c r="S373" i="15"/>
  <c r="R373" i="15"/>
  <c r="S372" i="15"/>
  <c r="R372" i="15"/>
  <c r="S371" i="15"/>
  <c r="R371" i="15"/>
  <c r="S370" i="15"/>
  <c r="R370" i="15"/>
  <c r="S369" i="15"/>
  <c r="R369" i="15"/>
  <c r="S368" i="15"/>
  <c r="R368" i="15"/>
  <c r="S367" i="15"/>
  <c r="R367" i="15"/>
  <c r="S366" i="15"/>
  <c r="R366" i="15"/>
  <c r="S365" i="15"/>
  <c r="R365" i="15"/>
  <c r="S364" i="15"/>
  <c r="R364" i="15"/>
  <c r="S363" i="15"/>
  <c r="R363" i="15"/>
  <c r="S362" i="15"/>
  <c r="R362" i="15"/>
  <c r="S361" i="15"/>
  <c r="R361" i="15"/>
  <c r="S360" i="15"/>
  <c r="R360" i="15"/>
  <c r="S359" i="15"/>
  <c r="R359" i="15"/>
  <c r="S358" i="15"/>
  <c r="R358" i="15"/>
  <c r="S357" i="15"/>
  <c r="R357" i="15"/>
  <c r="S356" i="15"/>
  <c r="R356" i="15"/>
  <c r="S355" i="15"/>
  <c r="R355" i="15"/>
  <c r="S354" i="15"/>
  <c r="R354" i="15"/>
  <c r="S353" i="15"/>
  <c r="R353" i="15"/>
  <c r="S352" i="15"/>
  <c r="R352" i="15"/>
  <c r="S351" i="15"/>
  <c r="R351" i="15"/>
  <c r="S350" i="15"/>
  <c r="R350" i="15"/>
  <c r="S349" i="15"/>
  <c r="R349" i="15"/>
  <c r="S348" i="15"/>
  <c r="R348" i="15"/>
  <c r="S347" i="15"/>
  <c r="R347" i="15"/>
  <c r="S346" i="15"/>
  <c r="R346" i="15"/>
  <c r="S345" i="15"/>
  <c r="R345" i="15"/>
  <c r="S344" i="15"/>
  <c r="R344" i="15"/>
  <c r="S343" i="15"/>
  <c r="R343" i="15"/>
  <c r="S342" i="15"/>
  <c r="R342" i="15"/>
  <c r="S341" i="15"/>
  <c r="R341" i="15"/>
  <c r="S340" i="15"/>
  <c r="R340" i="15"/>
  <c r="S339" i="15"/>
  <c r="R339" i="15"/>
  <c r="S338" i="15"/>
  <c r="R338" i="15"/>
  <c r="S337" i="15"/>
  <c r="R337" i="15"/>
  <c r="S336" i="15"/>
  <c r="R336" i="15"/>
  <c r="S335" i="15"/>
  <c r="R335" i="15"/>
  <c r="S334" i="15"/>
  <c r="R334" i="15"/>
  <c r="S333" i="15"/>
  <c r="R333" i="15"/>
  <c r="S332" i="15"/>
  <c r="R332" i="15"/>
  <c r="S331" i="15"/>
  <c r="R331" i="15"/>
  <c r="S330" i="15"/>
  <c r="R330" i="15"/>
  <c r="S329" i="15"/>
  <c r="R329" i="15"/>
  <c r="S328" i="15"/>
  <c r="R328" i="15"/>
  <c r="S327" i="15"/>
  <c r="R327" i="15"/>
  <c r="S326" i="15"/>
  <c r="R326" i="15"/>
  <c r="S325" i="15"/>
  <c r="R325" i="15"/>
  <c r="S324" i="15"/>
  <c r="R324" i="15"/>
  <c r="S323" i="15"/>
  <c r="R323" i="15"/>
  <c r="S322" i="15"/>
  <c r="R322" i="15"/>
  <c r="S321" i="15"/>
  <c r="R321" i="15"/>
  <c r="S320" i="15"/>
  <c r="R320" i="15"/>
  <c r="S319" i="15"/>
  <c r="R319" i="15"/>
  <c r="S318" i="15"/>
  <c r="R318" i="15"/>
  <c r="S317" i="15"/>
  <c r="R317" i="15"/>
  <c r="S316" i="15"/>
  <c r="R316" i="15"/>
  <c r="S315" i="15"/>
  <c r="R315" i="15"/>
  <c r="S314" i="15"/>
  <c r="R314" i="15"/>
  <c r="S313" i="15"/>
  <c r="R313" i="15"/>
  <c r="S312" i="15"/>
  <c r="R312" i="15"/>
  <c r="S311" i="15"/>
  <c r="R311" i="15"/>
  <c r="S310" i="15"/>
  <c r="R310" i="15"/>
  <c r="S309" i="15"/>
  <c r="R309" i="15"/>
  <c r="S308" i="15"/>
  <c r="R308" i="15"/>
  <c r="S307" i="15"/>
  <c r="R307" i="15"/>
  <c r="S306" i="15"/>
  <c r="R306" i="15"/>
  <c r="S305" i="15"/>
  <c r="R305" i="15"/>
  <c r="S304" i="15"/>
  <c r="R304" i="15"/>
  <c r="S303" i="15"/>
  <c r="R303" i="15"/>
  <c r="S302" i="15"/>
  <c r="R302" i="15"/>
  <c r="S301" i="15"/>
  <c r="R301" i="15"/>
  <c r="S300" i="15"/>
  <c r="R300" i="15"/>
  <c r="S299" i="15"/>
  <c r="R299" i="15"/>
  <c r="S298" i="15"/>
  <c r="R298" i="15"/>
  <c r="S297" i="15"/>
  <c r="R297" i="15"/>
  <c r="S296" i="15"/>
  <c r="R296" i="15"/>
  <c r="S295" i="15"/>
  <c r="R295" i="15"/>
  <c r="S294" i="15"/>
  <c r="R294" i="15"/>
  <c r="S293" i="15"/>
  <c r="R293" i="15"/>
  <c r="S292" i="15"/>
  <c r="R292" i="15"/>
  <c r="S291" i="15"/>
  <c r="R291" i="15"/>
  <c r="S290" i="15"/>
  <c r="R290" i="15"/>
  <c r="S289" i="15"/>
  <c r="R289" i="15"/>
  <c r="S288" i="15"/>
  <c r="R288" i="15"/>
  <c r="S287" i="15"/>
  <c r="R287" i="15"/>
  <c r="S286" i="15"/>
  <c r="R286" i="15"/>
  <c r="S285" i="15"/>
  <c r="R285" i="15"/>
  <c r="S284" i="15"/>
  <c r="R284" i="15"/>
  <c r="S283" i="15"/>
  <c r="R283" i="15"/>
  <c r="S282" i="15"/>
  <c r="R282" i="15"/>
  <c r="S281" i="15"/>
  <c r="R281" i="15"/>
  <c r="S280" i="15"/>
  <c r="R280" i="15"/>
  <c r="S279" i="15"/>
  <c r="R279" i="15"/>
  <c r="S278" i="15"/>
  <c r="R278" i="15"/>
  <c r="S277" i="15"/>
  <c r="R277" i="15"/>
  <c r="S276" i="15"/>
  <c r="R276" i="15"/>
  <c r="S275" i="15"/>
  <c r="R275" i="15"/>
  <c r="S274" i="15"/>
  <c r="R274" i="15"/>
  <c r="S273" i="15"/>
  <c r="R273" i="15"/>
  <c r="S272" i="15"/>
  <c r="R272" i="15"/>
  <c r="S271" i="15"/>
  <c r="R271" i="15"/>
  <c r="S270" i="15"/>
  <c r="R270" i="15"/>
  <c r="S269" i="15"/>
  <c r="R269" i="15"/>
  <c r="S268" i="15"/>
  <c r="R268" i="15"/>
  <c r="S267" i="15"/>
  <c r="R267" i="15"/>
  <c r="S266" i="15"/>
  <c r="R266" i="15"/>
  <c r="S265" i="15"/>
  <c r="R265" i="15"/>
  <c r="S264" i="15"/>
  <c r="R264" i="15"/>
  <c r="S263" i="15"/>
  <c r="R263" i="15"/>
  <c r="S262" i="15"/>
  <c r="R262" i="15"/>
  <c r="S261" i="15"/>
  <c r="R261" i="15"/>
  <c r="S260" i="15"/>
  <c r="R260" i="15"/>
  <c r="S259" i="15"/>
  <c r="R259" i="15"/>
  <c r="S258" i="15"/>
  <c r="R258" i="15"/>
  <c r="S257" i="15"/>
  <c r="R257" i="15"/>
  <c r="S256" i="15"/>
  <c r="R256" i="15"/>
  <c r="S255" i="15"/>
  <c r="R255" i="15"/>
  <c r="S254" i="15"/>
  <c r="R254" i="15"/>
  <c r="S253" i="15"/>
  <c r="R253" i="15"/>
  <c r="S252" i="15"/>
  <c r="R252" i="15"/>
  <c r="S251" i="15"/>
  <c r="R251" i="15"/>
  <c r="S250" i="15"/>
  <c r="R250" i="15"/>
  <c r="S249" i="15"/>
  <c r="R249" i="15"/>
  <c r="S248" i="15"/>
  <c r="R248" i="15"/>
  <c r="S247" i="15"/>
  <c r="R247" i="15"/>
  <c r="S246" i="15"/>
  <c r="R246" i="15"/>
  <c r="S245" i="15"/>
  <c r="R245" i="15"/>
  <c r="S244" i="15"/>
  <c r="R244" i="15"/>
  <c r="S243" i="15"/>
  <c r="R243" i="15"/>
  <c r="S242" i="15"/>
  <c r="R242" i="15"/>
  <c r="S241" i="15"/>
  <c r="R241" i="15"/>
  <c r="S240" i="15"/>
  <c r="R240" i="15"/>
  <c r="S239" i="15"/>
  <c r="R239" i="15"/>
  <c r="S238" i="15"/>
  <c r="R238" i="15"/>
  <c r="S237" i="15"/>
  <c r="R237" i="15"/>
  <c r="S236" i="15"/>
  <c r="R236" i="15"/>
  <c r="S235" i="15"/>
  <c r="R235" i="15"/>
  <c r="S234" i="15"/>
  <c r="R234" i="15"/>
  <c r="S233" i="15"/>
  <c r="R233" i="15"/>
  <c r="S232" i="15"/>
  <c r="R232" i="15"/>
  <c r="S231" i="15"/>
  <c r="R231" i="15"/>
  <c r="S230" i="15"/>
  <c r="R230" i="15"/>
  <c r="S229" i="15"/>
  <c r="R229" i="15"/>
  <c r="S228" i="15"/>
  <c r="R228" i="15"/>
  <c r="S227" i="15"/>
  <c r="R227" i="15"/>
  <c r="S226" i="15"/>
  <c r="R226" i="15"/>
  <c r="S225" i="15"/>
  <c r="R225" i="15"/>
  <c r="S224" i="15"/>
  <c r="R224" i="15"/>
  <c r="S223" i="15"/>
  <c r="R223" i="15"/>
  <c r="S222" i="15"/>
  <c r="R222" i="15"/>
  <c r="S221" i="15"/>
  <c r="R221" i="15"/>
  <c r="S220" i="15"/>
  <c r="R220" i="15"/>
  <c r="S219" i="15"/>
  <c r="R219" i="15"/>
  <c r="S218" i="15"/>
  <c r="R218" i="15"/>
  <c r="S217" i="15"/>
  <c r="R217" i="15"/>
  <c r="S216" i="15"/>
  <c r="R216" i="15"/>
  <c r="S215" i="15"/>
  <c r="R215" i="15"/>
  <c r="S214" i="15"/>
  <c r="R214" i="15"/>
  <c r="S213" i="15"/>
  <c r="R213" i="15"/>
  <c r="S212" i="15"/>
  <c r="R212" i="15"/>
  <c r="S211" i="15"/>
  <c r="R211" i="15"/>
  <c r="S210" i="15"/>
  <c r="R210" i="15"/>
  <c r="S209" i="15"/>
  <c r="R209" i="15"/>
  <c r="S208" i="15"/>
  <c r="R208" i="15"/>
  <c r="S207" i="15"/>
  <c r="R207" i="15"/>
  <c r="S206" i="15"/>
  <c r="R206" i="15"/>
  <c r="S205" i="15"/>
  <c r="R205" i="15"/>
  <c r="S204" i="15"/>
  <c r="R204" i="15"/>
  <c r="S203" i="15"/>
  <c r="R203" i="15"/>
  <c r="S202" i="15"/>
  <c r="R202" i="15"/>
  <c r="S201" i="15"/>
  <c r="R201" i="15"/>
  <c r="S200" i="15"/>
  <c r="R200" i="15"/>
  <c r="S199" i="15"/>
  <c r="R199" i="15"/>
  <c r="S198" i="15"/>
  <c r="R198" i="15"/>
  <c r="S197" i="15"/>
  <c r="R197" i="15"/>
  <c r="S196" i="15"/>
  <c r="R196" i="15"/>
  <c r="S195" i="15"/>
  <c r="R195" i="15"/>
  <c r="S194" i="15"/>
  <c r="R194" i="15"/>
  <c r="S193" i="15"/>
  <c r="R193" i="15"/>
  <c r="S192" i="15"/>
  <c r="R192" i="15"/>
  <c r="S191" i="15"/>
  <c r="R191" i="15"/>
  <c r="S190" i="15"/>
  <c r="R190" i="15"/>
  <c r="S189" i="15"/>
  <c r="R189" i="15"/>
  <c r="S188" i="15"/>
  <c r="R188" i="15"/>
  <c r="S187" i="15"/>
  <c r="R187" i="15"/>
  <c r="S186" i="15"/>
  <c r="R186" i="15"/>
  <c r="S185" i="15"/>
  <c r="R185" i="15"/>
  <c r="S184" i="15"/>
  <c r="R184" i="15"/>
  <c r="S183" i="15"/>
  <c r="R183" i="15"/>
  <c r="S182" i="15"/>
  <c r="R182" i="15"/>
  <c r="S181" i="15"/>
  <c r="R181" i="15"/>
  <c r="S180" i="15"/>
  <c r="R180" i="15"/>
  <c r="S179" i="15"/>
  <c r="R179" i="15"/>
  <c r="S178" i="15"/>
  <c r="R178" i="15"/>
  <c r="S177" i="15"/>
  <c r="R177" i="15"/>
  <c r="S176" i="15"/>
  <c r="R176" i="15"/>
  <c r="S175" i="15"/>
  <c r="R175" i="15"/>
  <c r="S174" i="15"/>
  <c r="R174" i="15"/>
  <c r="S173" i="15"/>
  <c r="R173" i="15"/>
  <c r="S172" i="15"/>
  <c r="R172" i="15"/>
  <c r="S171" i="15"/>
  <c r="R171" i="15"/>
  <c r="S170" i="15"/>
  <c r="R170" i="15"/>
  <c r="S169" i="15"/>
  <c r="R169" i="15"/>
  <c r="S168" i="15"/>
  <c r="R168" i="15"/>
  <c r="S167" i="15"/>
  <c r="R167" i="15"/>
  <c r="S166" i="15"/>
  <c r="R166" i="15"/>
  <c r="S165" i="15"/>
  <c r="R165" i="15"/>
  <c r="S164" i="15"/>
  <c r="R164" i="15"/>
  <c r="S163" i="15"/>
  <c r="R163" i="15"/>
  <c r="S162" i="15"/>
  <c r="R162" i="15"/>
  <c r="S161" i="15"/>
  <c r="R161" i="15"/>
  <c r="S160" i="15"/>
  <c r="R160" i="15"/>
  <c r="S159" i="15"/>
  <c r="R159" i="15"/>
  <c r="S158" i="15"/>
  <c r="R158" i="15"/>
  <c r="S157" i="15"/>
  <c r="R157" i="15"/>
  <c r="S156" i="15"/>
  <c r="R156" i="15"/>
  <c r="S155" i="15"/>
  <c r="R155" i="15"/>
  <c r="S154" i="15"/>
  <c r="R154" i="15"/>
  <c r="S153" i="15"/>
  <c r="R153" i="15"/>
  <c r="S152" i="15"/>
  <c r="R152" i="15"/>
  <c r="S151" i="15"/>
  <c r="R151" i="15"/>
  <c r="S150" i="15"/>
  <c r="R150" i="15"/>
  <c r="S149" i="15"/>
  <c r="R149" i="15"/>
  <c r="S148" i="15"/>
  <c r="R148" i="15"/>
  <c r="S147" i="15"/>
  <c r="R147" i="15"/>
  <c r="S146" i="15"/>
  <c r="R146" i="15"/>
  <c r="S145" i="15"/>
  <c r="R145" i="15"/>
  <c r="S144" i="15"/>
  <c r="R144" i="15"/>
  <c r="S143" i="15"/>
  <c r="R143" i="15"/>
  <c r="S142" i="15"/>
  <c r="R142" i="15"/>
  <c r="S141" i="15"/>
  <c r="R141" i="15"/>
  <c r="S140" i="15"/>
  <c r="R140" i="15"/>
  <c r="S139" i="15"/>
  <c r="R139" i="15"/>
  <c r="S138" i="15"/>
  <c r="R138" i="15"/>
  <c r="S137" i="15"/>
  <c r="R137" i="15"/>
  <c r="S136" i="15"/>
  <c r="R136" i="15"/>
  <c r="S135" i="15"/>
  <c r="R135" i="15"/>
  <c r="S134" i="15"/>
  <c r="R134" i="15"/>
  <c r="S133" i="15"/>
  <c r="R133" i="15"/>
  <c r="S132" i="15"/>
  <c r="R132" i="15"/>
  <c r="S131" i="15"/>
  <c r="R131" i="15"/>
  <c r="S130" i="15"/>
  <c r="R130" i="15"/>
  <c r="S129" i="15"/>
  <c r="R129" i="15"/>
  <c r="S128" i="15"/>
  <c r="R128" i="15"/>
  <c r="S127" i="15"/>
  <c r="R127" i="15"/>
  <c r="S126" i="15"/>
  <c r="R126" i="15"/>
  <c r="S125" i="15"/>
  <c r="R125" i="15"/>
  <c r="S124" i="15"/>
  <c r="R124" i="15"/>
  <c r="S123" i="15"/>
  <c r="R123" i="15"/>
  <c r="S122" i="15"/>
  <c r="R122" i="15"/>
  <c r="S121" i="15"/>
  <c r="R121" i="15"/>
  <c r="S120" i="15"/>
  <c r="R120" i="15"/>
  <c r="S119" i="15"/>
  <c r="R119" i="15"/>
  <c r="S118" i="15"/>
  <c r="R118" i="15"/>
  <c r="S117" i="15"/>
  <c r="R117" i="15"/>
  <c r="S116" i="15"/>
  <c r="R116" i="15"/>
  <c r="S115" i="15"/>
  <c r="R115" i="15"/>
  <c r="S114" i="15"/>
  <c r="R114" i="15"/>
  <c r="S113" i="15"/>
  <c r="R113" i="15"/>
  <c r="S112" i="15"/>
  <c r="R112" i="15"/>
  <c r="S111" i="15"/>
  <c r="R111" i="15"/>
  <c r="S110" i="15"/>
  <c r="R110" i="15"/>
  <c r="S109" i="15"/>
  <c r="R109" i="15"/>
  <c r="S108" i="15"/>
  <c r="R108" i="15"/>
  <c r="S107" i="15"/>
  <c r="R107" i="15"/>
  <c r="S106" i="15"/>
  <c r="R106" i="15"/>
  <c r="S105" i="15"/>
  <c r="R105" i="15"/>
  <c r="S104" i="15"/>
  <c r="R104" i="15"/>
  <c r="S103" i="15"/>
  <c r="R103" i="15"/>
  <c r="S102" i="15"/>
  <c r="R102" i="15"/>
  <c r="S101" i="15"/>
  <c r="R101" i="15"/>
  <c r="S100" i="15"/>
  <c r="R100" i="15"/>
  <c r="S99" i="15"/>
  <c r="R99" i="15"/>
  <c r="S98" i="15"/>
  <c r="R98" i="15"/>
  <c r="S97" i="15"/>
  <c r="R97" i="15"/>
  <c r="S96" i="15"/>
  <c r="R96" i="15"/>
  <c r="S95" i="15"/>
  <c r="R95" i="15"/>
  <c r="S94" i="15"/>
  <c r="R94" i="15"/>
  <c r="S93" i="15"/>
  <c r="R93" i="15"/>
  <c r="S92" i="15"/>
  <c r="R92" i="15"/>
  <c r="S91" i="15"/>
  <c r="R91" i="15"/>
  <c r="S90" i="15"/>
  <c r="R90" i="15"/>
  <c r="S89" i="15"/>
  <c r="R89" i="15"/>
  <c r="S88" i="15"/>
  <c r="R88" i="15"/>
  <c r="S87" i="15"/>
  <c r="R87" i="15"/>
  <c r="S86" i="15"/>
  <c r="R86" i="15"/>
  <c r="S85" i="15"/>
  <c r="R85" i="15"/>
  <c r="S84" i="15"/>
  <c r="R84" i="15"/>
  <c r="S83" i="15"/>
  <c r="R83" i="15"/>
  <c r="S82" i="15"/>
  <c r="R82" i="15"/>
  <c r="S81" i="15"/>
  <c r="R81" i="15"/>
  <c r="S80" i="15"/>
  <c r="R80" i="15"/>
  <c r="S79" i="15"/>
  <c r="R79" i="15"/>
  <c r="S78" i="15"/>
  <c r="R78" i="15"/>
  <c r="S77" i="15"/>
  <c r="R77" i="15"/>
  <c r="S76" i="15"/>
  <c r="R76" i="15"/>
  <c r="S75" i="15"/>
  <c r="R75" i="15"/>
  <c r="S74" i="15"/>
  <c r="R74" i="15"/>
  <c r="S73" i="15"/>
  <c r="R73" i="15"/>
  <c r="S72" i="15"/>
  <c r="R72" i="15"/>
  <c r="S71" i="15"/>
  <c r="R71" i="15"/>
  <c r="S70" i="15"/>
  <c r="R70" i="15"/>
  <c r="S69" i="15"/>
  <c r="R69" i="15"/>
  <c r="S68" i="15"/>
  <c r="R68" i="15"/>
  <c r="S67" i="15"/>
  <c r="R67" i="15"/>
  <c r="S66" i="15"/>
  <c r="R66" i="15"/>
  <c r="S65" i="15"/>
  <c r="R65" i="15"/>
  <c r="S64" i="15"/>
  <c r="R64" i="15"/>
  <c r="S63" i="15"/>
  <c r="R63" i="15"/>
  <c r="S62" i="15"/>
  <c r="R62" i="15"/>
  <c r="S61" i="15"/>
  <c r="R61" i="15"/>
  <c r="S60" i="15"/>
  <c r="R60" i="15"/>
  <c r="S59" i="15"/>
  <c r="R59" i="15"/>
  <c r="S58" i="15"/>
  <c r="R58" i="15"/>
  <c r="S57" i="15"/>
  <c r="R57" i="15"/>
  <c r="S56" i="15"/>
  <c r="R56" i="15"/>
  <c r="S55" i="15"/>
  <c r="R55" i="15"/>
  <c r="S54" i="15"/>
  <c r="R54" i="15"/>
  <c r="S53" i="15"/>
  <c r="R53" i="15"/>
  <c r="S52" i="15"/>
  <c r="R52" i="15"/>
  <c r="S51" i="15"/>
  <c r="R51" i="15"/>
  <c r="S50" i="15"/>
  <c r="R50" i="15"/>
  <c r="S49" i="15"/>
  <c r="R49" i="15"/>
  <c r="S48" i="15"/>
  <c r="R48" i="15"/>
  <c r="S47" i="15"/>
  <c r="R47" i="15"/>
  <c r="S46" i="15"/>
  <c r="R46" i="15"/>
  <c r="S45" i="15"/>
  <c r="R45" i="15"/>
  <c r="S44" i="15"/>
  <c r="R44" i="15"/>
  <c r="S43" i="15"/>
  <c r="R43" i="15"/>
  <c r="S42" i="15"/>
  <c r="R42" i="15"/>
  <c r="S41" i="15"/>
  <c r="R41" i="15"/>
  <c r="S40" i="15"/>
  <c r="R40" i="15"/>
  <c r="S39" i="15"/>
  <c r="R39" i="15"/>
  <c r="S38" i="15"/>
  <c r="R38" i="15"/>
  <c r="S37" i="15"/>
  <c r="S36" i="15"/>
  <c r="R36" i="15"/>
  <c r="S35" i="15"/>
  <c r="R35" i="15"/>
  <c r="S34" i="15"/>
  <c r="R34" i="15"/>
  <c r="S33" i="15"/>
  <c r="S32" i="15"/>
  <c r="R32" i="15"/>
  <c r="S31" i="15"/>
  <c r="R31" i="15"/>
  <c r="S30" i="15"/>
  <c r="R30" i="15"/>
  <c r="S29" i="15"/>
  <c r="R29" i="15"/>
  <c r="S28" i="15"/>
  <c r="R28" i="15"/>
  <c r="S27" i="15"/>
  <c r="R27" i="15"/>
  <c r="S26" i="15"/>
  <c r="R26" i="15"/>
  <c r="S25" i="15"/>
  <c r="R25" i="15"/>
  <c r="S24" i="15"/>
  <c r="R24" i="15"/>
  <c r="S23" i="15"/>
  <c r="R23" i="15"/>
  <c r="S22" i="15"/>
  <c r="R22" i="15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G59" i="5"/>
  <c r="G60" i="5" s="1"/>
  <c r="W16" i="15" s="1"/>
  <c r="H76" i="5"/>
  <c r="I166" i="5"/>
  <c r="D38" i="4" s="1"/>
  <c r="J144" i="5"/>
  <c r="B13" i="5" s="1"/>
  <c r="F13" i="5" s="1"/>
  <c r="G15" i="5"/>
  <c r="D68" i="4"/>
  <c r="G154" i="6"/>
  <c r="D154" i="6" s="1"/>
  <c r="K154" i="6" s="1"/>
  <c r="J30" i="2" s="1"/>
  <c r="V30" i="2" s="1"/>
  <c r="V33" i="2" s="1"/>
  <c r="C52" i="9"/>
  <c r="C55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1" i="9"/>
  <c r="C30" i="9"/>
  <c r="C29" i="9"/>
  <c r="C28" i="9"/>
  <c r="C27" i="9"/>
  <c r="C24" i="9"/>
  <c r="C23" i="9"/>
  <c r="C22" i="9"/>
  <c r="C21" i="9"/>
  <c r="C20" i="9"/>
  <c r="C19" i="9"/>
  <c r="C18" i="9"/>
  <c r="C17" i="9"/>
  <c r="C13" i="9"/>
  <c r="C12" i="9"/>
  <c r="C11" i="9"/>
  <c r="C10" i="9"/>
  <c r="C9" i="9"/>
  <c r="C8" i="9"/>
  <c r="C48" i="7"/>
  <c r="C8" i="7"/>
  <c r="E103" i="6"/>
  <c r="I156" i="6"/>
  <c r="H47" i="5"/>
  <c r="B103" i="5"/>
  <c r="B106" i="5" s="1"/>
  <c r="B108" i="5" s="1"/>
  <c r="F103" i="5"/>
  <c r="I179" i="6"/>
  <c r="C10" i="7"/>
  <c r="C37" i="7"/>
  <c r="C38" i="7"/>
  <c r="C39" i="7"/>
  <c r="G16" i="5"/>
  <c r="C27" i="8"/>
  <c r="K33" i="1"/>
  <c r="K43" i="1" s="1"/>
  <c r="K42" i="1"/>
  <c r="K21" i="1"/>
  <c r="K16" i="1"/>
  <c r="K26" i="1" s="1"/>
  <c r="J47" i="5"/>
  <c r="L19" i="2"/>
  <c r="F18" i="4" s="1"/>
  <c r="L24" i="2"/>
  <c r="L33" i="2" s="1"/>
  <c r="L39" i="2" s="1"/>
  <c r="F52" i="4"/>
  <c r="J52" i="4" s="1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5" i="4"/>
  <c r="J36" i="4"/>
  <c r="J37" i="4"/>
  <c r="J39" i="4"/>
  <c r="P18" i="3"/>
  <c r="P20" i="3"/>
  <c r="P16" i="3"/>
  <c r="P14" i="3"/>
  <c r="N22" i="3"/>
  <c r="L22" i="3"/>
  <c r="J22" i="3"/>
  <c r="D22" i="3"/>
  <c r="F22" i="3"/>
  <c r="B22" i="3"/>
  <c r="X49" i="2"/>
  <c r="D126" i="5"/>
  <c r="B126" i="5"/>
  <c r="G38" i="6"/>
  <c r="B12" i="5" s="1"/>
  <c r="F12" i="5" s="1"/>
  <c r="G130" i="6"/>
  <c r="D130" i="6" s="1"/>
  <c r="K130" i="6" s="1"/>
  <c r="J17" i="2" s="1"/>
  <c r="V17" i="2" s="1"/>
  <c r="I125" i="6"/>
  <c r="I189" i="6"/>
  <c r="G97" i="12"/>
  <c r="G84" i="12"/>
  <c r="G65" i="12"/>
  <c r="G119" i="12"/>
  <c r="G118" i="12"/>
  <c r="G117" i="12"/>
  <c r="G114" i="12"/>
  <c r="G113" i="12"/>
  <c r="G110" i="12"/>
  <c r="G116" i="12"/>
  <c r="G115" i="12"/>
  <c r="G112" i="12"/>
  <c r="G111" i="12"/>
  <c r="G109" i="12"/>
  <c r="G106" i="12"/>
  <c r="G107" i="12" s="1"/>
  <c r="G103" i="12"/>
  <c r="G104" i="12" s="1"/>
  <c r="G100" i="12"/>
  <c r="G96" i="12"/>
  <c r="G98" i="12" s="1"/>
  <c r="G93" i="12"/>
  <c r="G90" i="12"/>
  <c r="G89" i="12"/>
  <c r="G86" i="12"/>
  <c r="P44" i="2"/>
  <c r="G85" i="12"/>
  <c r="G81" i="12"/>
  <c r="G82" i="12" s="1"/>
  <c r="G76" i="12"/>
  <c r="P46" i="2"/>
  <c r="G73" i="12"/>
  <c r="G72" i="12"/>
  <c r="G78" i="12"/>
  <c r="G77" i="12"/>
  <c r="G79" i="12" s="1"/>
  <c r="G71" i="12"/>
  <c r="G68" i="12"/>
  <c r="G67" i="12"/>
  <c r="G66" i="12"/>
  <c r="G69" i="12" s="1"/>
  <c r="G62" i="12"/>
  <c r="G61" i="12"/>
  <c r="G60" i="12"/>
  <c r="G59" i="12"/>
  <c r="G58" i="12"/>
  <c r="G57" i="12"/>
  <c r="G56" i="12"/>
  <c r="G55" i="12"/>
  <c r="G54" i="12"/>
  <c r="G53" i="12"/>
  <c r="G52" i="12"/>
  <c r="G51" i="12"/>
  <c r="G48" i="12"/>
  <c r="G47" i="12"/>
  <c r="G46" i="12"/>
  <c r="G45" i="12"/>
  <c r="G49" i="12" s="1"/>
  <c r="G44" i="12"/>
  <c r="G38" i="12"/>
  <c r="G37" i="12"/>
  <c r="G36" i="12"/>
  <c r="G35" i="12"/>
  <c r="G34" i="12"/>
  <c r="G31" i="12"/>
  <c r="G30" i="12"/>
  <c r="G29" i="12"/>
  <c r="P18" i="2"/>
  <c r="G28" i="12"/>
  <c r="G27" i="12"/>
  <c r="G26" i="12"/>
  <c r="G25" i="12"/>
  <c r="G24" i="12"/>
  <c r="G32" i="12" s="1"/>
  <c r="G21" i="12"/>
  <c r="G22" i="12" s="1"/>
  <c r="G18" i="12"/>
  <c r="P21" i="2"/>
  <c r="G9" i="12"/>
  <c r="G10" i="12"/>
  <c r="J10" i="12" s="1"/>
  <c r="G11" i="12"/>
  <c r="G12" i="12"/>
  <c r="G13" i="12"/>
  <c r="G14" i="12"/>
  <c r="G15" i="12"/>
  <c r="G8" i="12"/>
  <c r="G120" i="14"/>
  <c r="G107" i="14"/>
  <c r="G104" i="14"/>
  <c r="G101" i="14"/>
  <c r="G98" i="14"/>
  <c r="G94" i="14"/>
  <c r="G91" i="14"/>
  <c r="G87" i="14"/>
  <c r="G82" i="14"/>
  <c r="G79" i="14"/>
  <c r="G74" i="14"/>
  <c r="G69" i="14"/>
  <c r="G63" i="14"/>
  <c r="G49" i="14"/>
  <c r="G39" i="14"/>
  <c r="G32" i="14"/>
  <c r="G22" i="14"/>
  <c r="G19" i="14"/>
  <c r="G16" i="14"/>
  <c r="P22" i="2"/>
  <c r="P37" i="2"/>
  <c r="P49" i="2"/>
  <c r="P50" i="2"/>
  <c r="P17" i="2"/>
  <c r="P15" i="2"/>
  <c r="G95" i="5"/>
  <c r="H98" i="5"/>
  <c r="C30" i="7"/>
  <c r="C17" i="7"/>
  <c r="C13" i="7"/>
  <c r="I30" i="1" s="1"/>
  <c r="B24" i="5" s="1"/>
  <c r="F24" i="5" s="1"/>
  <c r="G11" i="6"/>
  <c r="D11" i="6" s="1"/>
  <c r="K11" i="6" s="1"/>
  <c r="B10" i="5" s="1"/>
  <c r="F10" i="5" s="1"/>
  <c r="I10" i="5" s="1"/>
  <c r="J10" i="5" s="1"/>
  <c r="D29" i="4" s="1"/>
  <c r="H29" i="4" s="1"/>
  <c r="G107" i="6"/>
  <c r="G102" i="6"/>
  <c r="D102" i="6" s="1"/>
  <c r="F47" i="6"/>
  <c r="H179" i="6"/>
  <c r="I132" i="6"/>
  <c r="I142" i="6"/>
  <c r="I147" i="6" s="1"/>
  <c r="I158" i="6" s="1"/>
  <c r="H132" i="6"/>
  <c r="H142" i="6" s="1"/>
  <c r="H147" i="6" s="1"/>
  <c r="H158" i="6" s="1"/>
  <c r="H174" i="6" s="1"/>
  <c r="H183" i="6" s="1"/>
  <c r="H195" i="6" s="1"/>
  <c r="H197" i="6" s="1"/>
  <c r="H207" i="6" s="1"/>
  <c r="J40" i="6"/>
  <c r="I40" i="6"/>
  <c r="H40" i="6"/>
  <c r="I13" i="6"/>
  <c r="G13" i="6" s="1"/>
  <c r="H13" i="6"/>
  <c r="A5" i="4"/>
  <c r="A5" i="3"/>
  <c r="P56" i="2"/>
  <c r="P27" i="2"/>
  <c r="C16" i="7"/>
  <c r="J12" i="12"/>
  <c r="J11" i="12"/>
  <c r="J9" i="12"/>
  <c r="J8" i="12"/>
  <c r="G101" i="12"/>
  <c r="P47" i="2"/>
  <c r="G94" i="12"/>
  <c r="G87" i="12"/>
  <c r="P48" i="2"/>
  <c r="G74" i="12"/>
  <c r="P43" i="2"/>
  <c r="G19" i="12"/>
  <c r="P45" i="2"/>
  <c r="P30" i="2"/>
  <c r="P42" i="2"/>
  <c r="I110" i="5"/>
  <c r="J89" i="5"/>
  <c r="L52" i="2"/>
  <c r="F46" i="4"/>
  <c r="J46" i="4" s="1"/>
  <c r="C42" i="7"/>
  <c r="C15" i="7"/>
  <c r="C50" i="7"/>
  <c r="C49" i="7"/>
  <c r="C47" i="7"/>
  <c r="C46" i="7"/>
  <c r="C45" i="7"/>
  <c r="C36" i="7"/>
  <c r="C35" i="7"/>
  <c r="C34" i="7"/>
  <c r="C33" i="7"/>
  <c r="C29" i="7"/>
  <c r="C28" i="7"/>
  <c r="C27" i="7"/>
  <c r="C26" i="7"/>
  <c r="C25" i="7"/>
  <c r="C24" i="7"/>
  <c r="C21" i="7"/>
  <c r="C20" i="7"/>
  <c r="C14" i="7"/>
  <c r="C12" i="7"/>
  <c r="C11" i="7"/>
  <c r="C9" i="7"/>
  <c r="I172" i="6"/>
  <c r="I174" i="6" s="1"/>
  <c r="I183" i="6" s="1"/>
  <c r="I195" i="6" s="1"/>
  <c r="I197" i="6" s="1"/>
  <c r="I207" i="6" s="1"/>
  <c r="I92" i="6"/>
  <c r="L39" i="11"/>
  <c r="J39" i="11"/>
  <c r="H39" i="11"/>
  <c r="F39" i="11"/>
  <c r="D39" i="11"/>
  <c r="B39" i="11"/>
  <c r="P38" i="11"/>
  <c r="N38" i="11"/>
  <c r="P37" i="11"/>
  <c r="N37" i="11"/>
  <c r="P36" i="11"/>
  <c r="N36" i="11"/>
  <c r="P35" i="11"/>
  <c r="N35" i="11"/>
  <c r="P34" i="11"/>
  <c r="N34" i="11"/>
  <c r="P33" i="11"/>
  <c r="N33" i="11"/>
  <c r="P32" i="11"/>
  <c r="N32" i="11"/>
  <c r="P31" i="11"/>
  <c r="N31" i="11"/>
  <c r="P30" i="11"/>
  <c r="N30" i="11"/>
  <c r="P29" i="11"/>
  <c r="N29" i="11"/>
  <c r="P28" i="11"/>
  <c r="N28" i="11"/>
  <c r="P27" i="11"/>
  <c r="N27" i="11"/>
  <c r="P26" i="11"/>
  <c r="N26" i="11"/>
  <c r="P25" i="11"/>
  <c r="N25" i="11"/>
  <c r="P21" i="11"/>
  <c r="N21" i="11"/>
  <c r="L18" i="11"/>
  <c r="L44" i="11" s="1"/>
  <c r="J18" i="11"/>
  <c r="J44" i="11" s="1"/>
  <c r="H18" i="11"/>
  <c r="F18" i="11"/>
  <c r="D18" i="11"/>
  <c r="B18" i="11"/>
  <c r="B22" i="11" s="1"/>
  <c r="P16" i="11"/>
  <c r="N16" i="11"/>
  <c r="P15" i="11"/>
  <c r="N15" i="11"/>
  <c r="P14" i="11"/>
  <c r="N14" i="11"/>
  <c r="P13" i="11"/>
  <c r="N13" i="11"/>
  <c r="P12" i="11"/>
  <c r="N12" i="11"/>
  <c r="P11" i="11"/>
  <c r="N11" i="11"/>
  <c r="L22" i="11"/>
  <c r="F22" i="11"/>
  <c r="H22" i="11"/>
  <c r="D20" i="4"/>
  <c r="P12" i="3"/>
  <c r="P22" i="3" s="1"/>
  <c r="D32" i="5"/>
  <c r="H25" i="4"/>
  <c r="J44" i="2"/>
  <c r="N44" i="2" s="1"/>
  <c r="J21" i="2"/>
  <c r="N21" i="2" s="1"/>
  <c r="A58" i="4"/>
  <c r="A39" i="3"/>
  <c r="A61" i="2"/>
  <c r="K175" i="6"/>
  <c r="G206" i="6"/>
  <c r="D206" i="6" s="1"/>
  <c r="G204" i="6"/>
  <c r="G203" i="6"/>
  <c r="G202" i="6"/>
  <c r="G201" i="6"/>
  <c r="G200" i="6"/>
  <c r="G199" i="6"/>
  <c r="G182" i="6"/>
  <c r="G181" i="6"/>
  <c r="D181" i="6" s="1"/>
  <c r="G173" i="6"/>
  <c r="G160" i="6"/>
  <c r="G159" i="6"/>
  <c r="G150" i="6"/>
  <c r="D150" i="6" s="1"/>
  <c r="K150" i="6" s="1"/>
  <c r="G149" i="6"/>
  <c r="G148" i="6"/>
  <c r="G146" i="6"/>
  <c r="G144" i="6"/>
  <c r="G143" i="6"/>
  <c r="G140" i="6"/>
  <c r="G139" i="6"/>
  <c r="D139" i="6" s="1"/>
  <c r="K139" i="6" s="1"/>
  <c r="G138" i="6"/>
  <c r="D138" i="6" s="1"/>
  <c r="K138" i="6" s="1"/>
  <c r="G137" i="6"/>
  <c r="G136" i="6"/>
  <c r="G135" i="6"/>
  <c r="G134" i="6"/>
  <c r="G133" i="6"/>
  <c r="D133" i="6" s="1"/>
  <c r="K133" i="6" s="1"/>
  <c r="G129" i="6"/>
  <c r="G110" i="6"/>
  <c r="D110" i="6" s="1"/>
  <c r="K110" i="6" s="1"/>
  <c r="G109" i="6"/>
  <c r="D109" i="6" s="1"/>
  <c r="K109" i="6" s="1"/>
  <c r="G108" i="6"/>
  <c r="D107" i="6"/>
  <c r="G106" i="6"/>
  <c r="G104" i="6"/>
  <c r="D104" i="6" s="1"/>
  <c r="K104" i="6" s="1"/>
  <c r="G103" i="6"/>
  <c r="G101" i="6"/>
  <c r="G100" i="6"/>
  <c r="G91" i="6"/>
  <c r="D91" i="6" s="1"/>
  <c r="K91" i="6" s="1"/>
  <c r="G90" i="6"/>
  <c r="G89" i="6"/>
  <c r="G88" i="6"/>
  <c r="G87" i="6"/>
  <c r="D87" i="6" s="1"/>
  <c r="K87" i="6" s="1"/>
  <c r="G86" i="6"/>
  <c r="D86" i="6" s="1"/>
  <c r="K86" i="6" s="1"/>
  <c r="G82" i="6"/>
  <c r="G81" i="6"/>
  <c r="G80" i="6"/>
  <c r="G79" i="6"/>
  <c r="G78" i="6"/>
  <c r="G77" i="6"/>
  <c r="K77" i="6"/>
  <c r="G75" i="6"/>
  <c r="G74" i="6"/>
  <c r="G73" i="6"/>
  <c r="D73" i="6" s="1"/>
  <c r="K73" i="6" s="1"/>
  <c r="G72" i="6"/>
  <c r="D72" i="6" s="1"/>
  <c r="K72" i="6" s="1"/>
  <c r="G71" i="6"/>
  <c r="G70" i="6"/>
  <c r="G69" i="6"/>
  <c r="G68" i="6"/>
  <c r="D68" i="6" s="1"/>
  <c r="G67" i="6"/>
  <c r="G66" i="6"/>
  <c r="G65" i="6"/>
  <c r="G47" i="6"/>
  <c r="D47" i="6" s="1"/>
  <c r="K47" i="6" s="1"/>
  <c r="G46" i="6"/>
  <c r="G45" i="6"/>
  <c r="G44" i="6"/>
  <c r="D44" i="6" s="1"/>
  <c r="K44" i="6" s="1"/>
  <c r="G43" i="6"/>
  <c r="D43" i="6" s="1"/>
  <c r="G42" i="6"/>
  <c r="G41" i="6"/>
  <c r="K33" i="6"/>
  <c r="K32" i="6"/>
  <c r="G25" i="6"/>
  <c r="G24" i="6"/>
  <c r="G23" i="6"/>
  <c r="K19" i="6"/>
  <c r="G8" i="6"/>
  <c r="K188" i="6"/>
  <c r="K124" i="6"/>
  <c r="K62" i="6"/>
  <c r="D106" i="6"/>
  <c r="K106" i="6" s="1"/>
  <c r="I41" i="1" s="1"/>
  <c r="B31" i="5" s="1"/>
  <c r="F31" i="5" s="1"/>
  <c r="K107" i="6"/>
  <c r="G205" i="6"/>
  <c r="D204" i="6"/>
  <c r="D203" i="6"/>
  <c r="D202" i="6"/>
  <c r="D201" i="6"/>
  <c r="D200" i="6"/>
  <c r="D199" i="6"/>
  <c r="E197" i="6"/>
  <c r="E207" i="6"/>
  <c r="G196" i="6"/>
  <c r="D196" i="6" s="1"/>
  <c r="G192" i="6"/>
  <c r="G191" i="6"/>
  <c r="D191" i="6" s="1"/>
  <c r="K191" i="6" s="1"/>
  <c r="B189" i="6"/>
  <c r="H188" i="6"/>
  <c r="A187" i="6"/>
  <c r="A185" i="6"/>
  <c r="J179" i="6"/>
  <c r="F179" i="6"/>
  <c r="F183" i="6"/>
  <c r="F195" i="6" s="1"/>
  <c r="F197" i="6" s="1"/>
  <c r="F207" i="6" s="1"/>
  <c r="E179" i="6"/>
  <c r="G178" i="6"/>
  <c r="G177" i="6"/>
  <c r="G176" i="6"/>
  <c r="D176" i="6"/>
  <c r="K176" i="6" s="1"/>
  <c r="G175" i="6"/>
  <c r="J172" i="6"/>
  <c r="H172" i="6"/>
  <c r="F172" i="6"/>
  <c r="E172" i="6"/>
  <c r="G171" i="6"/>
  <c r="G170" i="6"/>
  <c r="D170" i="6"/>
  <c r="K170" i="6" s="1"/>
  <c r="G169" i="6"/>
  <c r="D169" i="6" s="1"/>
  <c r="K169" i="6" s="1"/>
  <c r="J46" i="2" s="1"/>
  <c r="G168" i="6"/>
  <c r="D168" i="6" s="1"/>
  <c r="K168" i="6"/>
  <c r="J47" i="2" s="1"/>
  <c r="N47" i="2" s="1"/>
  <c r="G167" i="6"/>
  <c r="D167" i="6" s="1"/>
  <c r="K167" i="6" s="1"/>
  <c r="J48" i="2" s="1"/>
  <c r="V48" i="2" s="1"/>
  <c r="G166" i="6"/>
  <c r="D166" i="6" s="1"/>
  <c r="K166" i="6" s="1"/>
  <c r="G165" i="6"/>
  <c r="D165" i="6" s="1"/>
  <c r="K165" i="6" s="1"/>
  <c r="J49" i="2" s="1"/>
  <c r="N49" i="2" s="1"/>
  <c r="G164" i="6"/>
  <c r="D164" i="6" s="1"/>
  <c r="K164" i="6" s="1"/>
  <c r="G163" i="6"/>
  <c r="D163" i="6"/>
  <c r="G162" i="6"/>
  <c r="D162" i="6" s="1"/>
  <c r="K162" i="6" s="1"/>
  <c r="G161" i="6"/>
  <c r="D161" i="6" s="1"/>
  <c r="K161" i="6" s="1"/>
  <c r="J156" i="6"/>
  <c r="H156" i="6"/>
  <c r="F156" i="6"/>
  <c r="E156" i="6"/>
  <c r="G155" i="6"/>
  <c r="D155" i="6" s="1"/>
  <c r="K155" i="6" s="1"/>
  <c r="J37" i="2" s="1"/>
  <c r="V37" i="2" s="1"/>
  <c r="G153" i="6"/>
  <c r="D153" i="6" s="1"/>
  <c r="K153" i="6" s="1"/>
  <c r="J22" i="2" s="1"/>
  <c r="V22" i="2" s="1"/>
  <c r="G152" i="6"/>
  <c r="G151" i="6"/>
  <c r="D149" i="6"/>
  <c r="D146" i="6"/>
  <c r="G145" i="6"/>
  <c r="D145" i="6"/>
  <c r="D144" i="6"/>
  <c r="D143" i="6"/>
  <c r="J141" i="6"/>
  <c r="H141" i="6"/>
  <c r="D140" i="6"/>
  <c r="K140" i="6" s="1"/>
  <c r="J27" i="2" s="1"/>
  <c r="N27" i="2" s="1"/>
  <c r="J132" i="6"/>
  <c r="J142" i="6" s="1"/>
  <c r="J147" i="6" s="1"/>
  <c r="J158" i="6" s="1"/>
  <c r="J174" i="6" s="1"/>
  <c r="J183" i="6" s="1"/>
  <c r="J195" i="6" s="1"/>
  <c r="F132" i="6"/>
  <c r="F142" i="6" s="1"/>
  <c r="F147" i="6" s="1"/>
  <c r="E132" i="6"/>
  <c r="G131" i="6"/>
  <c r="D131" i="6" s="1"/>
  <c r="K131" i="6" s="1"/>
  <c r="B125" i="6"/>
  <c r="H124" i="6"/>
  <c r="A123" i="6"/>
  <c r="A121" i="6"/>
  <c r="F111" i="6"/>
  <c r="D108" i="6"/>
  <c r="K108" i="6"/>
  <c r="I40" i="1" s="1"/>
  <c r="B27" i="5" s="1"/>
  <c r="F27" i="5" s="1"/>
  <c r="I27" i="5" s="1"/>
  <c r="L27" i="5" s="1"/>
  <c r="D103" i="6"/>
  <c r="E102" i="6"/>
  <c r="E111" i="6"/>
  <c r="D100" i="6"/>
  <c r="G94" i="6"/>
  <c r="D94" i="6" s="1"/>
  <c r="J92" i="6"/>
  <c r="J96" i="6" s="1"/>
  <c r="J112" i="6" s="1"/>
  <c r="H92" i="6"/>
  <c r="F92" i="6"/>
  <c r="E92" i="6"/>
  <c r="D90" i="6"/>
  <c r="K90" i="6"/>
  <c r="D89" i="6"/>
  <c r="K89" i="6" s="1"/>
  <c r="D88" i="6"/>
  <c r="K88" i="6"/>
  <c r="J83" i="6"/>
  <c r="H83" i="6"/>
  <c r="F83" i="6"/>
  <c r="E83" i="6"/>
  <c r="G83" i="6"/>
  <c r="J76" i="6"/>
  <c r="G76" i="6" s="1"/>
  <c r="H76" i="6"/>
  <c r="F76" i="6"/>
  <c r="F96" i="6" s="1"/>
  <c r="F112" i="6" s="1"/>
  <c r="E76" i="6"/>
  <c r="E96" i="6" s="1"/>
  <c r="E112" i="6" s="1"/>
  <c r="B63" i="6"/>
  <c r="H62" i="6"/>
  <c r="A61" i="6"/>
  <c r="D46" i="6"/>
  <c r="K46" i="6" s="1"/>
  <c r="D45" i="6"/>
  <c r="K45" i="6"/>
  <c r="K43" i="6"/>
  <c r="I24" i="1" s="1"/>
  <c r="B16" i="5" s="1"/>
  <c r="F16" i="5" s="1"/>
  <c r="I16" i="5" s="1"/>
  <c r="J16" i="5" s="1"/>
  <c r="D42" i="6"/>
  <c r="K42" i="6" s="1"/>
  <c r="F40" i="6"/>
  <c r="E40" i="6"/>
  <c r="E50" i="6" s="1"/>
  <c r="G39" i="6"/>
  <c r="D39" i="6" s="1"/>
  <c r="K39" i="6" s="1"/>
  <c r="G37" i="6"/>
  <c r="G36" i="6"/>
  <c r="D36" i="6" s="1"/>
  <c r="K36" i="6" s="1"/>
  <c r="G35" i="6"/>
  <c r="D35" i="6" s="1"/>
  <c r="K35" i="6" s="1"/>
  <c r="G34" i="6"/>
  <c r="D34" i="6" s="1"/>
  <c r="K34" i="6" s="1"/>
  <c r="G33" i="6"/>
  <c r="G32" i="6"/>
  <c r="G31" i="6"/>
  <c r="D31" i="6" s="1"/>
  <c r="K31" i="6" s="1"/>
  <c r="I23" i="1" s="1"/>
  <c r="B15" i="5" s="1"/>
  <c r="F15" i="5" s="1"/>
  <c r="I15" i="5" s="1"/>
  <c r="K15" i="5" s="1"/>
  <c r="D45" i="4" s="1"/>
  <c r="D46" i="4" s="1"/>
  <c r="G30" i="6"/>
  <c r="D30" i="6" s="1"/>
  <c r="K30" i="6" s="1"/>
  <c r="G29" i="6"/>
  <c r="D29" i="6"/>
  <c r="K29" i="6" s="1"/>
  <c r="G28" i="6"/>
  <c r="D28" i="6" s="1"/>
  <c r="J22" i="6"/>
  <c r="I22" i="6"/>
  <c r="I26" i="6" s="1"/>
  <c r="I51" i="6" s="1"/>
  <c r="H22" i="6"/>
  <c r="F22" i="6"/>
  <c r="F26" i="6"/>
  <c r="E22" i="6"/>
  <c r="E26" i="6" s="1"/>
  <c r="G21" i="6"/>
  <c r="D21" i="6"/>
  <c r="K21" i="6" s="1"/>
  <c r="G20" i="6"/>
  <c r="D20" i="6" s="1"/>
  <c r="K20" i="6" s="1"/>
  <c r="G19" i="6"/>
  <c r="G18" i="6"/>
  <c r="D18" i="6" s="1"/>
  <c r="K18" i="6" s="1"/>
  <c r="G17" i="6"/>
  <c r="D17" i="6" s="1"/>
  <c r="K17" i="6" s="1"/>
  <c r="G16" i="6"/>
  <c r="D16" i="6" s="1"/>
  <c r="K16" i="6" s="1"/>
  <c r="I20" i="1" s="1"/>
  <c r="B14" i="5" s="1"/>
  <c r="F14" i="5" s="1"/>
  <c r="I14" i="5" s="1"/>
  <c r="J14" i="5" s="1"/>
  <c r="G15" i="6"/>
  <c r="D15" i="6"/>
  <c r="K15" i="6"/>
  <c r="G14" i="6"/>
  <c r="J13" i="6"/>
  <c r="F13" i="6"/>
  <c r="E13" i="6"/>
  <c r="G12" i="6"/>
  <c r="D12" i="6" s="1"/>
  <c r="K12" i="6" s="1"/>
  <c r="G9" i="6"/>
  <c r="D9" i="6"/>
  <c r="K9" i="6" s="1"/>
  <c r="I13" i="1" s="1"/>
  <c r="G7" i="6"/>
  <c r="D7" i="6" s="1"/>
  <c r="K7" i="6" s="1"/>
  <c r="G112" i="5"/>
  <c r="F106" i="5"/>
  <c r="D106" i="5"/>
  <c r="G105" i="5"/>
  <c r="G104" i="5"/>
  <c r="G102" i="5"/>
  <c r="F99" i="5"/>
  <c r="B99" i="5"/>
  <c r="G98" i="5"/>
  <c r="D99" i="5"/>
  <c r="G96" i="5"/>
  <c r="J57" i="4"/>
  <c r="H57" i="4"/>
  <c r="J55" i="4"/>
  <c r="J53" i="4"/>
  <c r="H53" i="4"/>
  <c r="J51" i="4"/>
  <c r="H51" i="4"/>
  <c r="J50" i="4"/>
  <c r="J48" i="4"/>
  <c r="H48" i="4"/>
  <c r="H47" i="4"/>
  <c r="J45" i="4"/>
  <c r="J43" i="4"/>
  <c r="H43" i="4"/>
  <c r="J42" i="4"/>
  <c r="H42" i="4"/>
  <c r="J41" i="4"/>
  <c r="H41" i="4"/>
  <c r="H36" i="4"/>
  <c r="H35" i="4"/>
  <c r="H28" i="4"/>
  <c r="H15" i="4"/>
  <c r="H14" i="4"/>
  <c r="M44" i="3"/>
  <c r="K44" i="3"/>
  <c r="H44" i="3"/>
  <c r="C44" i="3"/>
  <c r="O44" i="3"/>
  <c r="P30" i="3"/>
  <c r="G36" i="3"/>
  <c r="G44" i="3" s="1"/>
  <c r="X57" i="2"/>
  <c r="V57" i="2"/>
  <c r="X53" i="2"/>
  <c r="V53" i="2"/>
  <c r="X51" i="2"/>
  <c r="V51" i="2"/>
  <c r="X50" i="2"/>
  <c r="X48" i="2"/>
  <c r="X47" i="2"/>
  <c r="X46" i="2"/>
  <c r="X45" i="2"/>
  <c r="X44" i="2"/>
  <c r="X43" i="2"/>
  <c r="X42" i="2"/>
  <c r="X37" i="2"/>
  <c r="X22" i="2"/>
  <c r="X30" i="2"/>
  <c r="X33" i="2" s="1"/>
  <c r="X20" i="2"/>
  <c r="V20" i="2"/>
  <c r="X17" i="2"/>
  <c r="J44" i="3"/>
  <c r="K103" i="6"/>
  <c r="I37" i="1" s="1"/>
  <c r="G141" i="6"/>
  <c r="D141" i="6" s="1"/>
  <c r="G132" i="6"/>
  <c r="D132" i="6" s="1"/>
  <c r="D142" i="6" s="1"/>
  <c r="D147" i="6" s="1"/>
  <c r="D171" i="6"/>
  <c r="E147" i="6"/>
  <c r="E158" i="6" s="1"/>
  <c r="E174" i="6" s="1"/>
  <c r="K163" i="6"/>
  <c r="G97" i="5"/>
  <c r="G10" i="6"/>
  <c r="D10" i="6" s="1"/>
  <c r="K10" i="6" s="1"/>
  <c r="I14" i="1" s="1"/>
  <c r="B8" i="5" s="1"/>
  <c r="F8" i="5" s="1"/>
  <c r="I8" i="5" s="1"/>
  <c r="M8" i="5" s="1"/>
  <c r="G172" i="6"/>
  <c r="D192" i="6"/>
  <c r="K192" i="6"/>
  <c r="D108" i="5"/>
  <c r="H26" i="6"/>
  <c r="H51" i="6" s="1"/>
  <c r="D82" i="6"/>
  <c r="K82" i="6"/>
  <c r="I32" i="1" s="1"/>
  <c r="B23" i="5" s="1"/>
  <c r="F23" i="5" s="1"/>
  <c r="I23" i="5" s="1"/>
  <c r="L23" i="5" s="1"/>
  <c r="D151" i="6"/>
  <c r="K151" i="6" s="1"/>
  <c r="V21" i="2"/>
  <c r="X15" i="2"/>
  <c r="X19" i="2"/>
  <c r="X21" i="2"/>
  <c r="P34" i="3"/>
  <c r="L36" i="3"/>
  <c r="J50" i="2"/>
  <c r="N50" i="2" s="1"/>
  <c r="K171" i="6"/>
  <c r="H17" i="4"/>
  <c r="B28" i="5"/>
  <c r="F28" i="5" s="1"/>
  <c r="I28" i="5" s="1"/>
  <c r="L28" i="5" s="1"/>
  <c r="H55" i="4"/>
  <c r="G105" i="6"/>
  <c r="D105" i="6" s="1"/>
  <c r="K105" i="6" s="1"/>
  <c r="I38" i="1" s="1"/>
  <c r="F44" i="3" s="1"/>
  <c r="J45" i="5"/>
  <c r="H50" i="4"/>
  <c r="D8" i="6"/>
  <c r="K8" i="6" s="1"/>
  <c r="D24" i="6"/>
  <c r="K24" i="6"/>
  <c r="D25" i="6"/>
  <c r="K25" i="6" s="1"/>
  <c r="D23" i="6"/>
  <c r="K23" i="6"/>
  <c r="D41" i="6"/>
  <c r="K41" i="6" s="1"/>
  <c r="D69" i="6"/>
  <c r="K69" i="6"/>
  <c r="D74" i="6"/>
  <c r="K74" i="6" s="1"/>
  <c r="D75" i="6"/>
  <c r="K75" i="6" s="1"/>
  <c r="D70" i="6"/>
  <c r="K70" i="6" s="1"/>
  <c r="D71" i="6"/>
  <c r="K71" i="6" s="1"/>
  <c r="D79" i="6"/>
  <c r="K79" i="6"/>
  <c r="D80" i="6"/>
  <c r="K80" i="6" s="1"/>
  <c r="D78" i="6"/>
  <c r="K78" i="6"/>
  <c r="D81" i="6"/>
  <c r="K81" i="6" s="1"/>
  <c r="D135" i="6"/>
  <c r="K135" i="6" s="1"/>
  <c r="D134" i="6"/>
  <c r="K134" i="6" s="1"/>
  <c r="D137" i="6"/>
  <c r="K137" i="6" s="1"/>
  <c r="D129" i="6"/>
  <c r="K129" i="6" s="1"/>
  <c r="D136" i="6"/>
  <c r="K136" i="6" s="1"/>
  <c r="W15" i="15"/>
  <c r="U15" i="15"/>
  <c r="U14" i="15"/>
  <c r="W4" i="15"/>
  <c r="U9" i="15"/>
  <c r="W5" i="15"/>
  <c r="K92" i="6" l="1"/>
  <c r="H113" i="6"/>
  <c r="K68" i="6"/>
  <c r="K76" i="6" s="1"/>
  <c r="D76" i="6"/>
  <c r="K141" i="6"/>
  <c r="K83" i="6"/>
  <c r="K96" i="6" s="1"/>
  <c r="G63" i="12"/>
  <c r="E51" i="6"/>
  <c r="F50" i="6"/>
  <c r="F51" i="6" s="1"/>
  <c r="K172" i="6"/>
  <c r="G103" i="5"/>
  <c r="G120" i="12"/>
  <c r="L54" i="2"/>
  <c r="V50" i="2"/>
  <c r="E183" i="6"/>
  <c r="J22" i="11"/>
  <c r="D13" i="6"/>
  <c r="J42" i="2"/>
  <c r="V42" i="2" s="1"/>
  <c r="V44" i="2"/>
  <c r="G50" i="6"/>
  <c r="G99" i="5"/>
  <c r="F108" i="5"/>
  <c r="P52" i="2"/>
  <c r="G16" i="12"/>
  <c r="P19" i="2"/>
  <c r="P33" i="2" s="1"/>
  <c r="P39" i="2" s="1"/>
  <c r="G91" i="12"/>
  <c r="J45" i="2"/>
  <c r="B67" i="5"/>
  <c r="D83" i="6"/>
  <c r="D85" i="6" s="1"/>
  <c r="C66" i="9"/>
  <c r="D22" i="6"/>
  <c r="K22" i="6" s="1"/>
  <c r="K26" i="6" s="1"/>
  <c r="H96" i="6"/>
  <c r="H112" i="6" s="1"/>
  <c r="F126" i="5"/>
  <c r="K48" i="1"/>
  <c r="AR19" i="16"/>
  <c r="L74" i="16"/>
  <c r="D20" i="5"/>
  <c r="J18" i="2"/>
  <c r="N18" i="2" s="1"/>
  <c r="K132" i="6"/>
  <c r="K142" i="6" s="1"/>
  <c r="K147" i="6" s="1"/>
  <c r="G142" i="6"/>
  <c r="G147" i="6" s="1"/>
  <c r="Y27" i="2"/>
  <c r="H45" i="4"/>
  <c r="H46" i="4" s="1"/>
  <c r="K48" i="5"/>
  <c r="U21" i="15"/>
  <c r="U23" i="15" s="1"/>
  <c r="D63" i="4"/>
  <c r="B7" i="5"/>
  <c r="L48" i="5"/>
  <c r="D49" i="4"/>
  <c r="K13" i="6"/>
  <c r="J16" i="2"/>
  <c r="J197" i="6"/>
  <c r="J207" i="6" s="1"/>
  <c r="G195" i="6"/>
  <c r="D26" i="6"/>
  <c r="L44" i="3"/>
  <c r="B29" i="5"/>
  <c r="F29" i="5" s="1"/>
  <c r="I29" i="5" s="1"/>
  <c r="J29" i="5" s="1"/>
  <c r="D44" i="3"/>
  <c r="X52" i="2"/>
  <c r="G22" i="6"/>
  <c r="G26" i="6" s="1"/>
  <c r="G51" i="6" s="1"/>
  <c r="J26" i="6"/>
  <c r="J51" i="6" s="1"/>
  <c r="J113" i="6" s="1"/>
  <c r="G40" i="6"/>
  <c r="D37" i="6"/>
  <c r="N48" i="2"/>
  <c r="V47" i="2"/>
  <c r="D172" i="6"/>
  <c r="N46" i="2"/>
  <c r="V46" i="2"/>
  <c r="B44" i="11"/>
  <c r="B41" i="11"/>
  <c r="P54" i="2"/>
  <c r="P58" i="2" s="1"/>
  <c r="B54" i="5"/>
  <c r="G37" i="5"/>
  <c r="N17" i="2"/>
  <c r="H11" i="5"/>
  <c r="J41" i="5"/>
  <c r="D27" i="4" s="1"/>
  <c r="H27" i="4" s="1"/>
  <c r="B30" i="5"/>
  <c r="F30" i="5" s="1"/>
  <c r="I30" i="5" s="1"/>
  <c r="D111" i="6"/>
  <c r="K102" i="6"/>
  <c r="G174" i="6"/>
  <c r="D177" i="6"/>
  <c r="G179" i="6"/>
  <c r="W20" i="15"/>
  <c r="G111" i="6"/>
  <c r="N42" i="2"/>
  <c r="X39" i="2"/>
  <c r="V39" i="2"/>
  <c r="V49" i="2"/>
  <c r="G92" i="6"/>
  <c r="N37" i="2"/>
  <c r="I25" i="1"/>
  <c r="N26" i="1" s="1"/>
  <c r="F158" i="6"/>
  <c r="D152" i="6"/>
  <c r="K152" i="6" s="1"/>
  <c r="K156" i="6" s="1"/>
  <c r="K158" i="6" s="1"/>
  <c r="K174" i="6" s="1"/>
  <c r="G156" i="6"/>
  <c r="D156" i="6" s="1"/>
  <c r="D158" i="6" s="1"/>
  <c r="D174" i="6" s="1"/>
  <c r="B11" i="5"/>
  <c r="F11" i="5" s="1"/>
  <c r="I11" i="5" s="1"/>
  <c r="J11" i="5" s="1"/>
  <c r="I19" i="1"/>
  <c r="I21" i="1" s="1"/>
  <c r="C28" i="8"/>
  <c r="C30" i="8" s="1"/>
  <c r="C31" i="8" s="1"/>
  <c r="N22" i="2"/>
  <c r="I31" i="1"/>
  <c r="C52" i="7"/>
  <c r="C54" i="7" s="1"/>
  <c r="C57" i="7" s="1"/>
  <c r="C62" i="9"/>
  <c r="J43" i="2"/>
  <c r="H40" i="5"/>
  <c r="N30" i="2"/>
  <c r="Y30" i="2"/>
  <c r="B68" i="5"/>
  <c r="H41" i="11"/>
  <c r="H44" i="11"/>
  <c r="G40" i="14"/>
  <c r="G41" i="14" s="1"/>
  <c r="G121" i="14"/>
  <c r="B17" i="5"/>
  <c r="B59" i="5"/>
  <c r="F67" i="5"/>
  <c r="J39" i="5"/>
  <c r="G13" i="5"/>
  <c r="D33" i="5"/>
  <c r="D44" i="11"/>
  <c r="P44" i="11" s="1"/>
  <c r="D41" i="11"/>
  <c r="D22" i="11"/>
  <c r="J13" i="12"/>
  <c r="G39" i="12"/>
  <c r="G40" i="12" s="1"/>
  <c r="G41" i="12" s="1"/>
  <c r="G122" i="12" s="1"/>
  <c r="G123" i="12" s="1"/>
  <c r="H67" i="5"/>
  <c r="G62" i="5"/>
  <c r="G121" i="12"/>
  <c r="F44" i="11"/>
  <c r="F41" i="11"/>
  <c r="L76" i="16"/>
  <c r="D38" i="6"/>
  <c r="K38" i="6" s="1"/>
  <c r="B74" i="16"/>
  <c r="B78" i="16" s="1"/>
  <c r="AR49" i="16"/>
  <c r="W14" i="15"/>
  <c r="N45" i="2" l="1"/>
  <c r="V45" i="2"/>
  <c r="G106" i="5"/>
  <c r="H46" i="5"/>
  <c r="G108" i="5"/>
  <c r="L58" i="2"/>
  <c r="F13" i="4" s="1"/>
  <c r="X54" i="2"/>
  <c r="X58" i="2" s="1"/>
  <c r="G38" i="5"/>
  <c r="J38" i="5" s="1"/>
  <c r="V18" i="2"/>
  <c r="V19" i="2" s="1"/>
  <c r="N19" i="2"/>
  <c r="G158" i="6"/>
  <c r="W21" i="15"/>
  <c r="W23" i="15" s="1"/>
  <c r="H71" i="5"/>
  <c r="N33" i="2"/>
  <c r="N39" i="2" s="1"/>
  <c r="G197" i="6"/>
  <c r="G207" i="6" s="1"/>
  <c r="D195" i="6"/>
  <c r="G122" i="14"/>
  <c r="G123" i="14" s="1"/>
  <c r="B70" i="5"/>
  <c r="F68" i="5" s="1"/>
  <c r="H68" i="5" s="1"/>
  <c r="V43" i="2"/>
  <c r="V52" i="2" s="1"/>
  <c r="N43" i="2"/>
  <c r="N52" i="2" s="1"/>
  <c r="K177" i="6"/>
  <c r="K179" i="6" s="1"/>
  <c r="J56" i="2" s="1"/>
  <c r="D179" i="6"/>
  <c r="D183" i="6" s="1"/>
  <c r="H18" i="5"/>
  <c r="J37" i="5"/>
  <c r="I13" i="5"/>
  <c r="J13" i="5" s="1"/>
  <c r="D52" i="4"/>
  <c r="H49" i="4"/>
  <c r="H52" i="4" s="1"/>
  <c r="G24" i="5"/>
  <c r="I24" i="5" s="1"/>
  <c r="J24" i="5" s="1"/>
  <c r="D39" i="4" s="1"/>
  <c r="H39" i="4" s="1"/>
  <c r="J40" i="5"/>
  <c r="D19" i="4"/>
  <c r="H19" i="4" s="1"/>
  <c r="K111" i="6"/>
  <c r="K112" i="6" s="1"/>
  <c r="I36" i="1"/>
  <c r="J67" i="5"/>
  <c r="H70" i="5"/>
  <c r="C65" i="9"/>
  <c r="C67" i="9" s="1"/>
  <c r="G59" i="9"/>
  <c r="O31" i="1"/>
  <c r="B25" i="5"/>
  <c r="I33" i="1"/>
  <c r="G183" i="6"/>
  <c r="J52" i="2"/>
  <c r="Y52" i="2" s="1"/>
  <c r="N44" i="11"/>
  <c r="K37" i="6"/>
  <c r="D40" i="6"/>
  <c r="D50" i="6"/>
  <c r="D51" i="6" s="1"/>
  <c r="F17" i="5"/>
  <c r="B19" i="5"/>
  <c r="F19" i="5" s="1"/>
  <c r="I19" i="5" s="1"/>
  <c r="J19" i="5" s="1"/>
  <c r="D32" i="4" s="1"/>
  <c r="D92" i="6"/>
  <c r="G96" i="6"/>
  <c r="G36" i="5"/>
  <c r="J19" i="2"/>
  <c r="N15" i="2"/>
  <c r="B60" i="5"/>
  <c r="B61" i="5" s="1"/>
  <c r="V15" i="2"/>
  <c r="F7" i="5"/>
  <c r="D16" i="4" l="1"/>
  <c r="H16" i="4" s="1"/>
  <c r="J46" i="5"/>
  <c r="F40" i="4"/>
  <c r="F54" i="4" s="1"/>
  <c r="J13" i="4"/>
  <c r="J40" i="4" s="1"/>
  <c r="H12" i="5"/>
  <c r="I12" i="5" s="1"/>
  <c r="J12" i="5" s="1"/>
  <c r="V56" i="2"/>
  <c r="H44" i="5"/>
  <c r="N56" i="2"/>
  <c r="K195" i="6"/>
  <c r="K197" i="6" s="1"/>
  <c r="K207" i="6" s="1"/>
  <c r="D197" i="6"/>
  <c r="D207" i="6" s="1"/>
  <c r="F69" i="5"/>
  <c r="B44" i="3"/>
  <c r="B26" i="5"/>
  <c r="F26" i="5" s="1"/>
  <c r="I26" i="5" s="1"/>
  <c r="J26" i="5" s="1"/>
  <c r="I42" i="1"/>
  <c r="I7" i="5"/>
  <c r="Y19" i="2"/>
  <c r="J24" i="2"/>
  <c r="J33" i="2" s="1"/>
  <c r="J39" i="2" s="1"/>
  <c r="D96" i="6"/>
  <c r="D112" i="6" s="1"/>
  <c r="D113" i="6" s="1"/>
  <c r="G112" i="6"/>
  <c r="G113" i="6" s="1"/>
  <c r="B18" i="5"/>
  <c r="K40" i="6"/>
  <c r="K50" i="6"/>
  <c r="K51" i="6" s="1"/>
  <c r="K113" i="6" s="1"/>
  <c r="I15" i="1"/>
  <c r="I16" i="1" s="1"/>
  <c r="I26" i="1" s="1"/>
  <c r="F25" i="5"/>
  <c r="K183" i="6"/>
  <c r="H32" i="4"/>
  <c r="H67" i="4"/>
  <c r="I43" i="1"/>
  <c r="J36" i="5"/>
  <c r="D18" i="4" s="1"/>
  <c r="H17" i="5"/>
  <c r="N54" i="2"/>
  <c r="F56" i="4" l="1"/>
  <c r="J54" i="4"/>
  <c r="I48" i="1"/>
  <c r="N58" i="2"/>
  <c r="B52" i="5"/>
  <c r="B53" i="5" s="1"/>
  <c r="F18" i="5"/>
  <c r="B20" i="5"/>
  <c r="B32" i="5"/>
  <c r="Y39" i="2"/>
  <c r="J54" i="2"/>
  <c r="F32" i="5"/>
  <c r="M7" i="5"/>
  <c r="M48" i="5" s="1"/>
  <c r="G25" i="5"/>
  <c r="J44" i="5"/>
  <c r="D21" i="4" s="1"/>
  <c r="H21" i="4" s="1"/>
  <c r="H65" i="5"/>
  <c r="H18" i="4"/>
  <c r="I17" i="5"/>
  <c r="J17" i="5" s="1"/>
  <c r="J56" i="4" l="1"/>
  <c r="F60" i="4"/>
  <c r="B33" i="5"/>
  <c r="H66" i="5"/>
  <c r="H69" i="5" s="1"/>
  <c r="B55" i="5"/>
  <c r="H75" i="5" s="1"/>
  <c r="I25" i="5"/>
  <c r="J25" i="5" s="1"/>
  <c r="D33" i="4" s="1"/>
  <c r="H33" i="4" s="1"/>
  <c r="J58" i="2"/>
  <c r="Y54" i="2"/>
  <c r="V54" i="2"/>
  <c r="V58" i="2" s="1"/>
  <c r="I18" i="5"/>
  <c r="K83" i="5"/>
  <c r="L83" i="5" s="1"/>
  <c r="F20" i="5"/>
  <c r="F33" i="5" s="1"/>
  <c r="G35" i="5" l="1"/>
  <c r="J62" i="2"/>
  <c r="N26" i="3"/>
  <c r="J18" i="5"/>
  <c r="D37" i="4" s="1"/>
  <c r="H37" i="4" s="1"/>
  <c r="H73" i="5"/>
  <c r="J70" i="5"/>
  <c r="H31" i="5" l="1"/>
  <c r="J35" i="5"/>
  <c r="G48" i="5"/>
  <c r="I76" i="5"/>
  <c r="N36" i="3"/>
  <c r="N44" i="3" s="1"/>
  <c r="P26" i="3"/>
  <c r="P36" i="3" s="1"/>
  <c r="P44" i="3" s="1"/>
  <c r="I75" i="5"/>
  <c r="D13" i="4" l="1"/>
  <c r="I31" i="5"/>
  <c r="H48" i="5"/>
  <c r="H50" i="5" s="1"/>
  <c r="H13" i="4" l="1"/>
  <c r="H40" i="4" s="1"/>
  <c r="H54" i="4" s="1"/>
  <c r="H56" i="4" s="1"/>
  <c r="J31" i="5"/>
  <c r="I48" i="5"/>
  <c r="D34" i="4" l="1"/>
  <c r="D40" i="4" s="1"/>
  <c r="D54" i="4" s="1"/>
  <c r="D56" i="4" s="1"/>
  <c r="J48" i="5"/>
  <c r="L51" i="5" s="1"/>
  <c r="D61" i="4" l="1"/>
  <c r="D59" i="4"/>
</calcChain>
</file>

<file path=xl/comments1.xml><?xml version="1.0" encoding="utf-8"?>
<comments xmlns="http://schemas.openxmlformats.org/spreadsheetml/2006/main">
  <authors>
    <author>JOSE MANUEL CHECA CUESTA</author>
    <author>Semiramis N DE AGUILAR</author>
  </authors>
  <commentList>
    <comment ref="G42" authorId="0" shapeId="0">
      <text>
        <r>
          <rPr>
            <b/>
            <sz val="9"/>
            <color indexed="81"/>
            <rFont val="Tahoma"/>
            <family val="2"/>
          </rPr>
          <t>JOSE MANUEL CHECA CUESTA:</t>
        </r>
        <r>
          <rPr>
            <sz val="9"/>
            <color indexed="81"/>
            <rFont val="Tahoma"/>
            <family val="2"/>
          </rPr>
          <t xml:space="preserve">
Compras de Valores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JOSE MANUEL CHECA CUESTA:</t>
        </r>
        <r>
          <rPr>
            <sz val="9"/>
            <color indexed="81"/>
            <rFont val="Tahoma"/>
            <family val="2"/>
          </rPr>
          <t xml:space="preserve">
Venta de Valores</t>
        </r>
      </text>
    </comment>
    <comment ref="A114" authorId="1" shapeId="0">
      <text>
        <r>
          <rPr>
            <b/>
            <sz val="9"/>
            <color indexed="81"/>
            <rFont val="Tahoma"/>
            <family val="2"/>
          </rPr>
          <t>Semiramis N DE AGUILAR: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<sst xmlns="http://schemas.openxmlformats.org/spreadsheetml/2006/main" count="12920" uniqueCount="1463">
  <si>
    <t>Valores Banistmo S.A. y Subsidiarias</t>
  </si>
  <si>
    <t>(Entidad 100% subsidiaria de Banistmo S.A.)</t>
  </si>
  <si>
    <t>(En balboas)</t>
  </si>
  <si>
    <t>Notas</t>
  </si>
  <si>
    <t xml:space="preserve">Activos </t>
  </si>
  <si>
    <t>Depósitos en instituciones financieras:</t>
  </si>
  <si>
    <t>A la vista en bancos locales</t>
  </si>
  <si>
    <t>A la vista en bancos extranjeros</t>
  </si>
  <si>
    <t>A plazo en bancos locales</t>
  </si>
  <si>
    <t>-</t>
  </si>
  <si>
    <t>Total de depósitos en instituciones financieras</t>
  </si>
  <si>
    <t>Inversiones en valores:</t>
  </si>
  <si>
    <t>Valores a valor razonable con cambios en resultados</t>
  </si>
  <si>
    <t>Valores disponibles para la venta</t>
  </si>
  <si>
    <t>Activos mantenidos para la venta</t>
  </si>
  <si>
    <t>Activos intangibles, netos</t>
  </si>
  <si>
    <t xml:space="preserve">Otros activos </t>
  </si>
  <si>
    <t xml:space="preserve">Pasivos y Patrimonio </t>
  </si>
  <si>
    <t>Comisiones por pagar</t>
  </si>
  <si>
    <t>Financiamientos recibidos</t>
  </si>
  <si>
    <t xml:space="preserve">Acciones comunes </t>
  </si>
  <si>
    <t xml:space="preserve">Reserva de capital </t>
  </si>
  <si>
    <t>Capital adicional pagado</t>
  </si>
  <si>
    <t>Reserva de valuación actuarial</t>
  </si>
  <si>
    <t>Impuesto complementario</t>
  </si>
  <si>
    <t>Depósitos en bancos</t>
  </si>
  <si>
    <t>Valores</t>
  </si>
  <si>
    <t>Honorarios y otras comisiones</t>
  </si>
  <si>
    <t>Gasto de intereses:</t>
  </si>
  <si>
    <t>Financiamiento</t>
  </si>
  <si>
    <t>Gastos por comisiones</t>
  </si>
  <si>
    <t>Ganancia por venta de inversiones</t>
  </si>
  <si>
    <t>Ganancia neta en valores</t>
  </si>
  <si>
    <t>Otros ingresos</t>
  </si>
  <si>
    <t>Gastos generales y administrativos</t>
  </si>
  <si>
    <t>Salarios y beneficios a empleados</t>
  </si>
  <si>
    <t>Honorarios y servicios profesionales</t>
  </si>
  <si>
    <t>Licencia comercial</t>
  </si>
  <si>
    <t>Impuestos varios</t>
  </si>
  <si>
    <t>Mantenimiento y aseo</t>
  </si>
  <si>
    <t>Alquileres</t>
  </si>
  <si>
    <t>Depreciación y amortización</t>
  </si>
  <si>
    <t>Comunicaciones y servicios públicos</t>
  </si>
  <si>
    <t xml:space="preserve">Otros </t>
  </si>
  <si>
    <t>Total de gastos generales y administrativos</t>
  </si>
  <si>
    <t>Impuesto sobre la renta</t>
  </si>
  <si>
    <t>Acciones</t>
  </si>
  <si>
    <t xml:space="preserve">Reserva de </t>
  </si>
  <si>
    <t>Otras</t>
  </si>
  <si>
    <t>Reserva</t>
  </si>
  <si>
    <t xml:space="preserve">Impuesto </t>
  </si>
  <si>
    <t>Total</t>
  </si>
  <si>
    <t>comunes</t>
  </si>
  <si>
    <t>capital</t>
  </si>
  <si>
    <t>reservas</t>
  </si>
  <si>
    <t>pagado</t>
  </si>
  <si>
    <t>complementario</t>
  </si>
  <si>
    <t>de patrimonio</t>
  </si>
  <si>
    <t>Otras transacciones de patrimonio:</t>
  </si>
  <si>
    <t>Valores Banistmo, S.A. y Subsidiarias</t>
  </si>
  <si>
    <t>Depreciación de activos fijos</t>
  </si>
  <si>
    <t>Amortización de activo intangible y otros</t>
  </si>
  <si>
    <t>Ingresos por intereses y comisiones</t>
  </si>
  <si>
    <t>Gasto por comisiones</t>
  </si>
  <si>
    <t>Gasto de impuesto sobre la renta</t>
  </si>
  <si>
    <t xml:space="preserve">   Efectivo recibido de subsidiaria fusionada</t>
  </si>
  <si>
    <t xml:space="preserve">   Impuesto complementario </t>
  </si>
  <si>
    <t xml:space="preserve">   Otras reservas</t>
  </si>
  <si>
    <t>Detalle para el Estado de Flujos de Efectivo</t>
  </si>
  <si>
    <t>Variación</t>
  </si>
  <si>
    <t>Diciembre</t>
  </si>
  <si>
    <t>AJUSTES</t>
  </si>
  <si>
    <t>SALDO</t>
  </si>
  <si>
    <t>EQUIVALENTE</t>
  </si>
  <si>
    <t>DR</t>
  </si>
  <si>
    <t>CR</t>
  </si>
  <si>
    <t>AJUSTADO</t>
  </si>
  <si>
    <t>OPERACIÓN</t>
  </si>
  <si>
    <t>INVERSIÓN</t>
  </si>
  <si>
    <t>FINANCIAMIENTO</t>
  </si>
  <si>
    <t>DE EFECTIVO</t>
  </si>
  <si>
    <t>ACTIVOS</t>
  </si>
  <si>
    <t>Efectivo</t>
  </si>
  <si>
    <t>Valores para negociar</t>
  </si>
  <si>
    <t>PASIVOS Y PATRIMONIO</t>
  </si>
  <si>
    <t>Otros pasivos</t>
  </si>
  <si>
    <t>Acciones comunes</t>
  </si>
  <si>
    <t>Otras reservas</t>
  </si>
  <si>
    <t>Reserva de capital</t>
  </si>
  <si>
    <t>Utilidades no distribuidas</t>
  </si>
  <si>
    <t>Validador</t>
  </si>
  <si>
    <t>Pérdida neta</t>
  </si>
  <si>
    <t>Ganancia/Pérdida neta realizada y no realizada en valores negociables</t>
  </si>
  <si>
    <t>Compras de valores con cambio en resultados</t>
  </si>
  <si>
    <t>Venta de valores con cambios en resultados</t>
  </si>
  <si>
    <t>Intereses y comisiones recibidas</t>
  </si>
  <si>
    <t>TOTAL</t>
  </si>
  <si>
    <t>VERIFICADOR</t>
  </si>
  <si>
    <t>51080103000000016662601</t>
  </si>
  <si>
    <t>DEPRECIACI°N Y AMORTIZACI°N</t>
  </si>
  <si>
    <t>Deprec y Amort - Equipo y mobiliario</t>
  </si>
  <si>
    <t>520701010000000165550020103</t>
  </si>
  <si>
    <t>51080201000000016AMORTPROLOCAL</t>
  </si>
  <si>
    <t>AMORTIZACION PROYECTOS LOCALES</t>
  </si>
  <si>
    <t>Deprec y Amort - Amortización de Software</t>
  </si>
  <si>
    <t>Automovil</t>
  </si>
  <si>
    <t>Equipo de computo</t>
  </si>
  <si>
    <t>Mobiliario y Equipo</t>
  </si>
  <si>
    <t>Costo:</t>
  </si>
  <si>
    <t xml:space="preserve">Al inicio del período </t>
  </si>
  <si>
    <t xml:space="preserve">     Adiciones</t>
  </si>
  <si>
    <t xml:space="preserve">     Saldo de subsidiaria fusionada</t>
  </si>
  <si>
    <t xml:space="preserve">     Ventas y descartes </t>
  </si>
  <si>
    <t>Al final del período</t>
  </si>
  <si>
    <t>Depreciación y amortización acumulada:</t>
  </si>
  <si>
    <t>Al inicio del período</t>
  </si>
  <si>
    <t xml:space="preserve">     Gasto del año</t>
  </si>
  <si>
    <t xml:space="preserve"> Al final del período</t>
  </si>
  <si>
    <t xml:space="preserve"> Saldo neto </t>
  </si>
  <si>
    <t>30020601000000016ARRENDFINLEAS</t>
  </si>
  <si>
    <t>INTRA ARREND FINANCIERO LEASIN</t>
  </si>
  <si>
    <t>FINANC. RECIBIDO</t>
  </si>
  <si>
    <t>10190401000000016AUTOMOVIL</t>
  </si>
  <si>
    <t>AUTOMOVIL</t>
  </si>
  <si>
    <t>Activo Fijo - Equipo</t>
  </si>
  <si>
    <t>Cuenta Sicobi</t>
  </si>
  <si>
    <t>Nombre de  la cuenta</t>
  </si>
  <si>
    <t>Cuenta Consolidado</t>
  </si>
  <si>
    <t>Nombre consolidado</t>
  </si>
  <si>
    <t>52070102000000016D/PNOREALIZA</t>
  </si>
  <si>
    <t>GANANCIA/PERDIDA NO REALIZADA</t>
  </si>
  <si>
    <t>Ganancia neta en valores y derivados-no realizada en valores a valor razonable con cambio en resultado</t>
  </si>
  <si>
    <t>52070102000000016D/PREALIZADAS</t>
  </si>
  <si>
    <t>GANANCIA/PERDIDA REALIZADA</t>
  </si>
  <si>
    <t>GANANCIA NETA EN VALORES Y DERIVADOS-VENTA DE VALORES A VALOR RAZONABLE</t>
  </si>
  <si>
    <t>51120101000000016VTA ACTFIJMOB</t>
  </si>
  <si>
    <t>GAN/PERDIDA VTA ACT FIJO MOB</t>
  </si>
  <si>
    <t>Otros Ingresos - GANANCIA/PERDIDA POR VENTA DE ACTIVOS FIJOS</t>
  </si>
  <si>
    <t>VALORES BANISTMO S.A.  y Subsidiarias</t>
  </si>
  <si>
    <t xml:space="preserve">BALANCE GENERAL </t>
  </si>
  <si>
    <t>Consolidado</t>
  </si>
  <si>
    <t>Eliminaciones</t>
  </si>
  <si>
    <t>SUVALOR PANAMA, S.A.</t>
  </si>
  <si>
    <t>Dr</t>
  </si>
  <si>
    <t>Cr</t>
  </si>
  <si>
    <t>Activos</t>
  </si>
  <si>
    <t>29 y 31</t>
  </si>
  <si>
    <t>1, 29 y 31</t>
  </si>
  <si>
    <t>1021101-1021102</t>
  </si>
  <si>
    <t>A la vista en bancos del exterior</t>
  </si>
  <si>
    <t>1021201-1021202</t>
  </si>
  <si>
    <t>2, 29 y 31</t>
  </si>
  <si>
    <t>A plazo  en bancos del exterior</t>
  </si>
  <si>
    <t>Total efectivo y depósitos en bancos</t>
  </si>
  <si>
    <t>Valores disponible para la venta</t>
  </si>
  <si>
    <t>3, 29 y 31</t>
  </si>
  <si>
    <t>Valores comprados bajo acuerdo de reventa</t>
  </si>
  <si>
    <t>4, 29 y 31</t>
  </si>
  <si>
    <t>Activos Recibidos en Dación de pago</t>
  </si>
  <si>
    <t>Préstamos y descuentos:</t>
  </si>
  <si>
    <t>5, 29 y 31</t>
  </si>
  <si>
    <t>Sector interno</t>
  </si>
  <si>
    <t>Sector externo</t>
  </si>
  <si>
    <t>Reserva para protección de cartera</t>
  </si>
  <si>
    <t>Comisiones e intereses descontadas no devengados, neta</t>
  </si>
  <si>
    <t>Intereses descontados no ganados</t>
  </si>
  <si>
    <t>10404</t>
  </si>
  <si>
    <t>Préstamos y descuentos, neto</t>
  </si>
  <si>
    <t>Valores mantenidos al vencimiento</t>
  </si>
  <si>
    <t>Inversiones en afiliadas</t>
  </si>
  <si>
    <t>Bienes inmuebles, mobiliarios, equipo  y</t>
  </si>
  <si>
    <t>mejoras a propiedades arrendadas, neto</t>
  </si>
  <si>
    <t>6, 29 y 31</t>
  </si>
  <si>
    <t>Activos varios</t>
  </si>
  <si>
    <t>Impuesto sobre la renta diferido</t>
  </si>
  <si>
    <t>Gastos pagados por anticipado</t>
  </si>
  <si>
    <t>8, 29 y 31</t>
  </si>
  <si>
    <t>Intereses acumulados por cobrar:</t>
  </si>
  <si>
    <t>Depósitos</t>
  </si>
  <si>
    <t>Inversiones</t>
  </si>
  <si>
    <t>Préstamos</t>
  </si>
  <si>
    <t>Subtotal de Interés por Cobrar</t>
  </si>
  <si>
    <t>35, 29 y 31</t>
  </si>
  <si>
    <t>Obligaciones de clientes por aceptaciones</t>
  </si>
  <si>
    <t>Deudores varios - negocio de seguros</t>
  </si>
  <si>
    <t>108060201-108060202</t>
  </si>
  <si>
    <t>Depósitos de garantía</t>
  </si>
  <si>
    <t>Fondo de Cesantia y redenciones</t>
  </si>
  <si>
    <t>Activos Mantenidos para la venta</t>
  </si>
  <si>
    <t>Otros activos</t>
  </si>
  <si>
    <t>10, 29 y 31</t>
  </si>
  <si>
    <t>Total activos varios</t>
  </si>
  <si>
    <t>Total activos</t>
  </si>
  <si>
    <t>BALANCE GENERAL CONSOLIDADO</t>
  </si>
  <si>
    <t>Pasivos y Fondos de Capital</t>
  </si>
  <si>
    <t xml:space="preserve"> </t>
  </si>
  <si>
    <t>Pasivos</t>
  </si>
  <si>
    <t>Depósitos de clientes</t>
  </si>
  <si>
    <t>A la vista locales</t>
  </si>
  <si>
    <t>A la  vista extranjeros</t>
  </si>
  <si>
    <t>Depósitos de ahorro</t>
  </si>
  <si>
    <t>A plazo fijo locales</t>
  </si>
  <si>
    <t>A plazo fijo extranjeros</t>
  </si>
  <si>
    <t>Depósitos a plazo fijo-interbancarios</t>
  </si>
  <si>
    <t>Locales</t>
  </si>
  <si>
    <t>Extranjeros</t>
  </si>
  <si>
    <t>Total depósitos</t>
  </si>
  <si>
    <t>Aceptaciones de comercio exterior</t>
  </si>
  <si>
    <t>Bonos y valores comerciales negociables por pagar</t>
  </si>
  <si>
    <t>Arrendamiento financiero por pagar</t>
  </si>
  <si>
    <t>Valores vendidos bajo acuerdo de recompra</t>
  </si>
  <si>
    <t>Financiamientos recibidos-otros</t>
  </si>
  <si>
    <t>21, 29 y 31</t>
  </si>
  <si>
    <t>Cheques en circulación</t>
  </si>
  <si>
    <t>Intereses acumulados por pagar</t>
  </si>
  <si>
    <t>Aceptaciones pendientes</t>
  </si>
  <si>
    <t>Acreedores varios</t>
  </si>
  <si>
    <t>22, 29 y 31</t>
  </si>
  <si>
    <t>2040501-2040502-2040506</t>
  </si>
  <si>
    <t>Acreedores varios y reservas técnicas - negocio de seguros</t>
  </si>
  <si>
    <t>Total otros pasivos</t>
  </si>
  <si>
    <t>Intereses minoritarios</t>
  </si>
  <si>
    <t>Total pasivo</t>
  </si>
  <si>
    <t>Fondos de capital</t>
  </si>
  <si>
    <t>Acciones preferidas</t>
  </si>
  <si>
    <t>Reservas de capital</t>
  </si>
  <si>
    <t>Utilidades retenidas</t>
  </si>
  <si>
    <t>Valuación Actuarial de Beneficios Definidos</t>
  </si>
  <si>
    <t>Impuesto Complementario</t>
  </si>
  <si>
    <t>Acciones en tesorería</t>
  </si>
  <si>
    <t>Efecto por traducción de moneda</t>
  </si>
  <si>
    <t>Total fondos de capital</t>
  </si>
  <si>
    <t>Total pasivos y fondos de capital</t>
  </si>
  <si>
    <t>ESTADO DE GANANCIAS O PÉRDIDAS</t>
  </si>
  <si>
    <t>Ingresos</t>
  </si>
  <si>
    <t>Intereses devengados:</t>
  </si>
  <si>
    <t>5010201-5010202</t>
  </si>
  <si>
    <t>Inversiones en valores</t>
  </si>
  <si>
    <t>Cuenta de Ahorro</t>
  </si>
  <si>
    <t>Cuenta Corriente</t>
  </si>
  <si>
    <t>Plazo Fijo</t>
  </si>
  <si>
    <t>Interbancario</t>
  </si>
  <si>
    <t>Certificado Fiduciario</t>
  </si>
  <si>
    <t xml:space="preserve">Inversiones  </t>
  </si>
  <si>
    <t>Subtotal de Gasto de Intereses</t>
  </si>
  <si>
    <t>Ingreso Neto de Intereses</t>
  </si>
  <si>
    <t>Reserva de bienes Adjudicados</t>
  </si>
  <si>
    <t>Provisión para cuentas malas</t>
  </si>
  <si>
    <t>Provision para bienes adjudicados</t>
  </si>
  <si>
    <t>Provisión para inversiones</t>
  </si>
  <si>
    <t>Ingreso Neto de Intereses despúes de provisión para inversiones</t>
  </si>
  <si>
    <t xml:space="preserve">Ingreso (Gasto) por Servicios Bancarios y otros </t>
  </si>
  <si>
    <t>Pérdida en de inversiones en asociadas</t>
  </si>
  <si>
    <t>Comisiones Devengadas por Servicios Bancarios</t>
  </si>
  <si>
    <t>5020208- 5020209- 5020204</t>
  </si>
  <si>
    <t>Ganancia neta en valores y derivados</t>
  </si>
  <si>
    <t>5030103-5030106-5030102-5030108-5030109</t>
  </si>
  <si>
    <t>Dividendos recibidos</t>
  </si>
  <si>
    <t>Gastos de comisiones</t>
  </si>
  <si>
    <t>6020105-6020101</t>
  </si>
  <si>
    <t>Otros,neto</t>
  </si>
  <si>
    <t>Total de ingresos por servicios Bancarios y otros</t>
  </si>
  <si>
    <t>Total de ingresos de operaciones</t>
  </si>
  <si>
    <t>Salarios y otras remuneraciones</t>
  </si>
  <si>
    <t>6040101-6040102-6040103-6040106-6040111</t>
  </si>
  <si>
    <t>Seguros</t>
  </si>
  <si>
    <t>Papelería y útiles de oficina</t>
  </si>
  <si>
    <t xml:space="preserve">Luz </t>
  </si>
  <si>
    <t>Comunicaciones</t>
  </si>
  <si>
    <t>Propaganda y relaciones públicas</t>
  </si>
  <si>
    <t>6040604-6040603</t>
  </si>
  <si>
    <t>Alquiler y arrendamiento</t>
  </si>
  <si>
    <t>Gastos  de fusión de subsidiaria bancaria</t>
  </si>
  <si>
    <t>Otros</t>
  </si>
  <si>
    <t>6041001-6041003-6041017-6041018</t>
  </si>
  <si>
    <t>Pérdida antes del impuesto sobre la renta e intereses minoritarios</t>
  </si>
  <si>
    <t>Ajuste por impuesto de ejercicios anteriores</t>
  </si>
  <si>
    <t>Impuesto sobre la renta - corriente</t>
  </si>
  <si>
    <t>Impuesto sobre la renta - diferido</t>
  </si>
  <si>
    <t xml:space="preserve">Total impuesto sobre la renta </t>
  </si>
  <si>
    <t>Participación de intereses minoritarios</t>
  </si>
  <si>
    <t>ESTADO DE UTILIDADES RETENIDAS</t>
  </si>
  <si>
    <t>Saldo al inicio del período</t>
  </si>
  <si>
    <t>Subtotal</t>
  </si>
  <si>
    <t>Dividendos capitalizados</t>
  </si>
  <si>
    <t>Dividendos pagados:</t>
  </si>
  <si>
    <t xml:space="preserve">   Acciones comunes</t>
  </si>
  <si>
    <t xml:space="preserve">   Acciones preferidas</t>
  </si>
  <si>
    <t>Reserva regulatoria de Bienes Adjudicados</t>
  </si>
  <si>
    <t>Descuento en emisión de acciones preferidas</t>
  </si>
  <si>
    <t>Saldo al final del  período</t>
  </si>
  <si>
    <t>ANEXO 22</t>
  </si>
  <si>
    <t>DETALLE DE ACREEDORES VARIOS</t>
  </si>
  <si>
    <t>Acreedor</t>
  </si>
  <si>
    <t>Número de Cuenta</t>
  </si>
  <si>
    <t>Suspenso y otros pasivos por pagar:</t>
  </si>
  <si>
    <t>CXP PERSHING</t>
  </si>
  <si>
    <t>20050302000000016CXP PERSHING</t>
  </si>
  <si>
    <t>CXP REVISION FISCAL</t>
  </si>
  <si>
    <t>20050302000000016CXPREVFISCAL</t>
  </si>
  <si>
    <t>ACREEDORES VARIOS</t>
  </si>
  <si>
    <t>2005030200000001622200301</t>
  </si>
  <si>
    <t>CXP TRASPASOS DE FONDOS</t>
  </si>
  <si>
    <t>2005030200000001622200505</t>
  </si>
  <si>
    <t>CXP VALORESBANCOLOMBIA</t>
  </si>
  <si>
    <t>30020301000000016CXPVBANCOLOM</t>
  </si>
  <si>
    <t>2005030200000001622200402</t>
  </si>
  <si>
    <t>CTA X PAGAR BCMG</t>
  </si>
  <si>
    <t>30020302010000016CXP BCMG</t>
  </si>
  <si>
    <t>Impuesto sobre la renta y otros impuestos</t>
  </si>
  <si>
    <t>PROV. FOR CURRENT TAXATION</t>
  </si>
  <si>
    <t>20050201000000016ISRENTA</t>
  </si>
  <si>
    <t>ITBM POR PAGAR COMISIONES</t>
  </si>
  <si>
    <t>20050302000000016ITBMXPAG-COM</t>
  </si>
  <si>
    <t>Gastos Acumulados</t>
  </si>
  <si>
    <t>GAN O PERDIDA ACTUARIAL PRIANT</t>
  </si>
  <si>
    <t>20050302000000016ACTUARIPRIANT</t>
  </si>
  <si>
    <t>CUENTAS X PAGAR AUDITORES</t>
  </si>
  <si>
    <t>2005030200000001622200309</t>
  </si>
  <si>
    <t>ACUM PARTICIP DE UTILIDADES</t>
  </si>
  <si>
    <t>20070301010000016BONO</t>
  </si>
  <si>
    <t>GH BANCO DE BONO</t>
  </si>
  <si>
    <t>20070301010000016GH BCO BONO</t>
  </si>
  <si>
    <t>PROVISION AUDITORIA OTROS</t>
  </si>
  <si>
    <t>20070301010000016PROVAUDIOTR</t>
  </si>
  <si>
    <t>GH FIDEICOMISO</t>
  </si>
  <si>
    <t>20070301010000016GH FIDEICOMIS</t>
  </si>
  <si>
    <t>C.S.S. por pagar</t>
  </si>
  <si>
    <t>IMPUESTO SOBRE RENTA EMPLE X P</t>
  </si>
  <si>
    <t>20050302000000016I/R EMPL</t>
  </si>
  <si>
    <t>RIESGO PROFESIONAL POR PAGAR</t>
  </si>
  <si>
    <t>20050302000000016RP</t>
  </si>
  <si>
    <t>SEGURO EDUCATIVO POR PAGAR</t>
  </si>
  <si>
    <t>20050302000000016SE</t>
  </si>
  <si>
    <t>SEGURO SOCIAL POR PAGAR</t>
  </si>
  <si>
    <t>20050302000000016SS</t>
  </si>
  <si>
    <t>Operaciones de bolsa</t>
  </si>
  <si>
    <t>CUENTAS X PAGAR OP BOLSA</t>
  </si>
  <si>
    <t>2005030200000001622200502</t>
  </si>
  <si>
    <t>Provisiones laborales por pagar</t>
  </si>
  <si>
    <t>INDEMNIZACION</t>
  </si>
  <si>
    <t>20070301010000016INDEMNIZACION</t>
  </si>
  <si>
    <t>PRIMA ANTIGUEDAD /INDEMNIZACIO</t>
  </si>
  <si>
    <t>20070301010000016PRIMA/ANTG</t>
  </si>
  <si>
    <t>PRIMA  DE ANTIGUEDAD</t>
  </si>
  <si>
    <t>20070301010000016PRIMAANTG</t>
  </si>
  <si>
    <t>VACACIONES</t>
  </si>
  <si>
    <t>20070301010000016VACACIONES</t>
  </si>
  <si>
    <t>XIII MES</t>
  </si>
  <si>
    <t>20070301010000016XIIIMES</t>
  </si>
  <si>
    <t>CONSOLIDADO VALORES BANISTMO, S. A. Y SUBSIDIARIAS</t>
  </si>
  <si>
    <t>VALORES BANISTMO, S.A.</t>
  </si>
  <si>
    <t>ANEXO 37</t>
  </si>
  <si>
    <t>Ganancia neta en valores y Derivados</t>
  </si>
  <si>
    <t>Detalle</t>
  </si>
  <si>
    <t>CUENTA CONTABLE</t>
  </si>
  <si>
    <t>Ganancia neta en valores y derivados-valores disponibles para la venta</t>
  </si>
  <si>
    <t>ING UTILIDAD VTA INV CUSTO</t>
  </si>
  <si>
    <t>51120201000000016UTILIDAD VTA</t>
  </si>
  <si>
    <t>DIFERENCIA EN PRECIO VTA PERSH</t>
  </si>
  <si>
    <t>511202010000000165550020303</t>
  </si>
  <si>
    <t>DIFERENCIA EN PRECIO DE VTA</t>
  </si>
  <si>
    <t>511202010000000165550020304</t>
  </si>
  <si>
    <t>GANANCIA NETA EN VALORES Y DERIVADOS-GANANCIA/PÉRDIDA NETA EN CAMBIO DE MONEDA EXTRANJERA</t>
  </si>
  <si>
    <t>INGRESO P/G MONEDA EXTRANJERA</t>
  </si>
  <si>
    <t>52070101000000016P/GMONEDAEXT</t>
  </si>
  <si>
    <t>GAN X REV MONEDA EXTRANJERA</t>
  </si>
  <si>
    <t>PERD EN INV POR CAMBIO DE MONE</t>
  </si>
  <si>
    <t>520701010000000166620511101</t>
  </si>
  <si>
    <t>GANANCIA NETA EN VALORES Y DERIVADOS-REPOS</t>
  </si>
  <si>
    <t>UTILIDAD EN POSICIONES EN</t>
  </si>
  <si>
    <t>52080101000000016UTILPOSCORTO</t>
  </si>
  <si>
    <t>Ganancias por venta de inversiones</t>
  </si>
  <si>
    <t>ANEXO  27</t>
  </si>
  <si>
    <t>DETALLE DE OTROS GASTOS</t>
  </si>
  <si>
    <t>SERVICIOS PROFESIONALES:</t>
  </si>
  <si>
    <t>HONORARIOS AUDITORES</t>
  </si>
  <si>
    <t>5106031000000001666200137</t>
  </si>
  <si>
    <t>HON/REVISION FISCAL</t>
  </si>
  <si>
    <t>5106031000000001666200138</t>
  </si>
  <si>
    <t>SERV PROF-LOCALES</t>
  </si>
  <si>
    <t>5106030206000001666201301</t>
  </si>
  <si>
    <t>TRADUCCIONES EXTERNAS</t>
  </si>
  <si>
    <t>51060310000000016TRADUC EXT</t>
  </si>
  <si>
    <t>SERVICIO DE PLANILLA</t>
  </si>
  <si>
    <t>51060302060000016PLANILLA</t>
  </si>
  <si>
    <t>IMPUESTOS VARIOS :</t>
  </si>
  <si>
    <t>IMPTO-LICENCIA COMERCIAL</t>
  </si>
  <si>
    <t>51060302040000016661102</t>
  </si>
  <si>
    <t>IMPTO-TASA UNICA</t>
  </si>
  <si>
    <t>51060302040000016661103</t>
  </si>
  <si>
    <t>IMPTO MUNICIPAL</t>
  </si>
  <si>
    <t>51060302040000016661106</t>
  </si>
  <si>
    <t>TASA DE SUPERVISION SMV</t>
  </si>
  <si>
    <t>51060302040000016661108</t>
  </si>
  <si>
    <t>OTROS IMPUESTOS</t>
  </si>
  <si>
    <t>51060302040000016661107</t>
  </si>
  <si>
    <t>LICENCIA/ ADMDOR DE INVERSIONE</t>
  </si>
  <si>
    <t>51060302040000016LIC ADM INVER</t>
  </si>
  <si>
    <t>CORREOS</t>
  </si>
  <si>
    <t>COURIER</t>
  </si>
  <si>
    <t>5106030300000001666200116</t>
  </si>
  <si>
    <t>CUOTAS E INSCRIPCIONES</t>
  </si>
  <si>
    <t>5106030201000001666200109</t>
  </si>
  <si>
    <t>CORREO FLETE Y OTROS</t>
  </si>
  <si>
    <t>51060303000000016CORREO/OTROS</t>
  </si>
  <si>
    <t>OTROS GASTOS</t>
  </si>
  <si>
    <t>5106030300000001666200501</t>
  </si>
  <si>
    <t>LICENCIA CORREDOR DE BOLSA</t>
  </si>
  <si>
    <t>51060302010000016LICCORREDORES</t>
  </si>
  <si>
    <t>OTROS :</t>
  </si>
  <si>
    <t>GASTOS NO DEDUCIBLES</t>
  </si>
  <si>
    <t>5106030207000001666201501</t>
  </si>
  <si>
    <t>OFFICE EXPENSES - SERV. ADM.BANISTMO, S.A.</t>
  </si>
  <si>
    <t>310004010000000166620012803</t>
  </si>
  <si>
    <t>51060302070000016662901</t>
  </si>
  <si>
    <t>GASTOS LEGALES (ALCOGAL)</t>
  </si>
  <si>
    <t>51060302060000016GAS</t>
  </si>
  <si>
    <t>GASTOS NOTARIALES</t>
  </si>
  <si>
    <t>5106030206000001666200104</t>
  </si>
  <si>
    <t>ERRORES OPERATIVOS &lt;10MIL</t>
  </si>
  <si>
    <t>51060402010100016500027</t>
  </si>
  <si>
    <t>GASTOS DE VIAJES</t>
  </si>
  <si>
    <t>51060302050000016VIAJES</t>
  </si>
  <si>
    <t>ESTACIONAMIENTOS CLIENTES</t>
  </si>
  <si>
    <t>51060302070000016ESTACION/CLI</t>
  </si>
  <si>
    <t>CARGOS POR MULTAS Y SANCIO</t>
  </si>
  <si>
    <t>51060302070000016MULTA/SANCIO</t>
  </si>
  <si>
    <t>SERVICIOS DE VIGILANCIA</t>
  </si>
  <si>
    <t>51060302060000016SERV VIGILAN</t>
  </si>
  <si>
    <t>MULTA,RECARGO,SANCIONES&lt;10K</t>
  </si>
  <si>
    <t>51060402010300016500065</t>
  </si>
  <si>
    <t>OTRAS ENTIDADES/ AGREMIACIONES</t>
  </si>
  <si>
    <t>51060302070000016OTRAS AGREMIA</t>
  </si>
  <si>
    <t>RIESGO OPERATIVO</t>
  </si>
  <si>
    <t>5106030400000001666200113</t>
  </si>
  <si>
    <t>TRANSPORTE Y TAXI</t>
  </si>
  <si>
    <t>51060305000000016TRANSP Y TAXI</t>
  </si>
  <si>
    <t>REFRIGERIOS Y ATENCIONES</t>
  </si>
  <si>
    <t>51060105040000016REFRIGE/ATENC</t>
  </si>
  <si>
    <t>SERV ADMINISTRATIVOS BANISTMO</t>
  </si>
  <si>
    <t>31000301000000016GTOS ADMITIVO</t>
  </si>
  <si>
    <t>HONORARIOS:</t>
  </si>
  <si>
    <t>HONORARIOS LEGALES</t>
  </si>
  <si>
    <t>5106030206000001666200101</t>
  </si>
  <si>
    <t>5106030206000001666200103</t>
  </si>
  <si>
    <t>Otros Gastos - Deterioro Activos Comerc y No Comerc.</t>
  </si>
  <si>
    <t>51060501020000016TER</t>
  </si>
  <si>
    <t>Mobiliarios y equipos, neto de depreciación</t>
  </si>
  <si>
    <t xml:space="preserve">Total de activos    </t>
  </si>
  <si>
    <t xml:space="preserve">Total de pasivos   </t>
  </si>
  <si>
    <t>Patrimonio</t>
  </si>
  <si>
    <t>Total de patrimonio</t>
  </si>
  <si>
    <t>Total de pasivos y patrimonio</t>
  </si>
  <si>
    <t>REDONDEO</t>
  </si>
  <si>
    <t>Depósitos a la vista restringidos</t>
  </si>
  <si>
    <t>Depósitos a plazo fijos originales mayores a tres meses</t>
  </si>
  <si>
    <t>Intereses acumulados por cobrar</t>
  </si>
  <si>
    <t xml:space="preserve">Pérdida neta </t>
  </si>
  <si>
    <t xml:space="preserve">   Ingresos por intereses y comisiones</t>
  </si>
  <si>
    <t xml:space="preserve">   Pérdida en venta de activo fijo</t>
  </si>
  <si>
    <t xml:space="preserve">   Compras de valores a valor razonable con cambios en resultados</t>
  </si>
  <si>
    <t>VALORES BANCOLOMBIA PANAMA, S.A.</t>
  </si>
  <si>
    <t>(Entidad 100% subsidiaria de Valores Bancolombia, S.A.)</t>
  </si>
  <si>
    <t>Estado Consolidado de Resultados Integrales</t>
  </si>
  <si>
    <t xml:space="preserve">Por el trimestre terminado el 31 de marzo de 2016 </t>
  </si>
  <si>
    <t>(Cifras en Balboas)</t>
  </si>
  <si>
    <t>II Trimestre</t>
  </si>
  <si>
    <t>Acumulado</t>
  </si>
  <si>
    <t xml:space="preserve"> SEPTIEMBRE          2015</t>
  </si>
  <si>
    <t xml:space="preserve"> SEPTIEMBRE          2014</t>
  </si>
  <si>
    <t xml:space="preserve"> MARZO          2016</t>
  </si>
  <si>
    <t xml:space="preserve"> MARZO        2015</t>
  </si>
  <si>
    <t>validacion</t>
  </si>
  <si>
    <t>Ingresos:</t>
  </si>
  <si>
    <t>Comisiones</t>
  </si>
  <si>
    <t>Ganacias por venta de inversiones</t>
  </si>
  <si>
    <t xml:space="preserve"> Intereses sobre depósitos e inversiones (Nota 8)</t>
  </si>
  <si>
    <t>Otras ganancias  netas por inversiones negociables</t>
  </si>
  <si>
    <t>(Pérdida) ganancia no realizada en valores negociables</t>
  </si>
  <si>
    <t xml:space="preserve"> Otros Ingresos </t>
  </si>
  <si>
    <t xml:space="preserve">Total de ingresos </t>
  </si>
  <si>
    <t>Gastos de Comisiones:</t>
  </si>
  <si>
    <t>Comisiones (Nota 8)</t>
  </si>
  <si>
    <t xml:space="preserve"> Ingresos, neto de comisiones</t>
  </si>
  <si>
    <t>Gastos Generales y Administrativos:</t>
  </si>
  <si>
    <t xml:space="preserve">  Salarios y beneficios a empleados (Nota 8 y 13)</t>
  </si>
  <si>
    <t xml:space="preserve">  Honorarios y servicios profesionales</t>
  </si>
  <si>
    <t xml:space="preserve">  Impuestos varios</t>
  </si>
  <si>
    <t xml:space="preserve">  Tasa de regulación y supervisión de licencia</t>
  </si>
  <si>
    <t xml:space="preserve">  Depreciación (Nota 9)</t>
  </si>
  <si>
    <t xml:space="preserve">  Mantenimiento de equipo</t>
  </si>
  <si>
    <t xml:space="preserve">  Alquileres</t>
  </si>
  <si>
    <t xml:space="preserve">  Gasto de viajes</t>
  </si>
  <si>
    <t xml:space="preserve">  Papelería y útiles de oficina</t>
  </si>
  <si>
    <t xml:space="preserve">  Gastos de Fondos</t>
  </si>
  <si>
    <t xml:space="preserve">  Pérdida por riesgo operativo</t>
  </si>
  <si>
    <t xml:space="preserve">  Publicidad y Propaganda</t>
  </si>
  <si>
    <t xml:space="preserve">  Telefonía y Servicios Públicos</t>
  </si>
  <si>
    <t xml:space="preserve">  Otros gastos</t>
  </si>
  <si>
    <t>Utilidad antes del impuesto sobre la renta</t>
  </si>
  <si>
    <t>Impuesto sobre la Renta (Nota 14)</t>
  </si>
  <si>
    <t>Utilidad neta del período</t>
  </si>
  <si>
    <t>Clasificación</t>
  </si>
  <si>
    <t>31 de marzo</t>
  </si>
  <si>
    <t>(Auditado)</t>
  </si>
  <si>
    <t>(No auditado)</t>
  </si>
  <si>
    <t>31 de diciembre</t>
  </si>
  <si>
    <t>Clasificar Flujo efectivo</t>
  </si>
  <si>
    <t>Clasificar Situación financiera</t>
  </si>
  <si>
    <t xml:space="preserve">      con cambios en resultados</t>
  </si>
  <si>
    <t xml:space="preserve">   Cambios en activos y pasivos de operación:</t>
  </si>
  <si>
    <t xml:space="preserve">      Depósitos a plazo fijo originales mayores a tres meses </t>
  </si>
  <si>
    <t xml:space="preserve">      Otros activos</t>
  </si>
  <si>
    <t xml:space="preserve">      Otros pasivos             </t>
  </si>
  <si>
    <t xml:space="preserve">      Depósitos a la vista restringidos</t>
  </si>
  <si>
    <t>REDONDEOS</t>
  </si>
  <si>
    <t>Actividades de financiamiento</t>
  </si>
  <si>
    <t>Actividades de inversión</t>
  </si>
  <si>
    <t>Actividades de operación</t>
  </si>
  <si>
    <t xml:space="preserve">   Impuesto sobre la renta</t>
  </si>
  <si>
    <t xml:space="preserve">   Intereses y comisiones recibidas</t>
  </si>
  <si>
    <t xml:space="preserve">   Comisiones pagadas</t>
  </si>
  <si>
    <t xml:space="preserve">   Venta y descarte de mobiliarios y equipos</t>
  </si>
  <si>
    <t xml:space="preserve">   Adquisición de mobiliarios y equipos</t>
  </si>
  <si>
    <t>20050302000000016RETENXPAG</t>
  </si>
  <si>
    <t>20050302000000016CLEARSTREAM</t>
  </si>
  <si>
    <t>30020302010000016CXP ASSET M</t>
  </si>
  <si>
    <t>2005030200000001622200304</t>
  </si>
  <si>
    <t>CLEARSTREAM - LATINCLEAR</t>
  </si>
  <si>
    <t>51060302040000016IMP TASA</t>
  </si>
  <si>
    <t>51060204000000016PROY MENORES</t>
  </si>
  <si>
    <t>51060205000000016BLOOMBERG</t>
  </si>
  <si>
    <t>GASTO PROYECTOS MENORES</t>
  </si>
  <si>
    <t>TERMINALES DE BLOOMBERG VALORE</t>
  </si>
  <si>
    <t>51080104000000016DEP. AUTO</t>
  </si>
  <si>
    <t>51080104000000016DEPAUTO/S.ESP</t>
  </si>
  <si>
    <t>GASTO DEPRECIACION AUTO</t>
  </si>
  <si>
    <t>GASTO DE DEPRE AUTO (SAL.ESP)</t>
  </si>
  <si>
    <t>.</t>
  </si>
  <si>
    <t>Profit &amp; Loss</t>
  </si>
  <si>
    <t>January through March 2016</t>
  </si>
  <si>
    <t>Jan - Mar 16</t>
  </si>
  <si>
    <t>Ordinary Income/Expense</t>
  </si>
  <si>
    <t>Income</t>
  </si>
  <si>
    <t>40 · COMISIONES</t>
  </si>
  <si>
    <t>40074 · 411525210000 (ING. COM FONDOS MUTUOS TRAILER FEES - 52060112000000016FMTRAILERFEES)</t>
  </si>
  <si>
    <t>40066 · 411500000000 (CUENTA PUENTE- INGRESO POR COMISIONES - 52060112000000016COMISIONES)</t>
  </si>
  <si>
    <t>40081 · 411525203000 (ING. COM TRADING 621 - 52060112000000016COMISIONES)</t>
  </si>
  <si>
    <t>40082 · 411525204000 (ING. COM TRADING 529 - 52060112000000016COMISIONES)</t>
  </si>
  <si>
    <t>40084 · 411525207000 (ING. COM. ADM. APTS 529 - 52060112000000016COM ADM APTS)</t>
  </si>
  <si>
    <t>40204 · 411525220101 (ING INT. MONEY MARKET PERSHING - 52030501000000016MMK PERSHING)</t>
  </si>
  <si>
    <t>Intereses depositos a la vista</t>
  </si>
  <si>
    <t>50001 · 411525209000 (ING.COM. FONDOS MUTUOS T. - 52060112000000016FDOSMUTUOS T)</t>
  </si>
  <si>
    <t>50002 · 411525201000 (ING. FONDOS PROPIOS - 52060112000000016FDOS PROPIOS)</t>
  </si>
  <si>
    <t>Total 40 · COMISIONES</t>
  </si>
  <si>
    <t>42 · GANANCIA POR VENTA DE INVERSION</t>
  </si>
  <si>
    <t>40131 · 412502205000 (ING.UTILIDAD VTA INV.CUSTO 621 - 51120201000000016UTILIDAD VTA)</t>
  </si>
  <si>
    <t>Total 42 · GANANCIA POR VENTA DE INVERSION</t>
  </si>
  <si>
    <t>44 · INT. S/DEPO. INTERBANCARIOS</t>
  </si>
  <si>
    <t>40202 · 411525220100 (ING. INTERESES OTROS - 52040301000000016INT GANADO)</t>
  </si>
  <si>
    <t>Total 44 · INT. S/DEPO. INTERBANCARIOS</t>
  </si>
  <si>
    <t>45 · INGRESOS SOBRE INVERSIONES</t>
  </si>
  <si>
    <t>40128 · 412315200000 (UTILIDAD EN POSICIONES EN CORTO - 52080101000000016UTILPOSCORTO)</t>
  </si>
  <si>
    <t>40127 · 412315100000 (UTILIDAD EN POSICIONES EN CORTO VALORACION)</t>
  </si>
  <si>
    <t>40161 · 410706209200 (GANANCIA-PÉRDIDA-REALIZADA HET891003 - 52070102000000016D/PREALIHET)</t>
  </si>
  <si>
    <t>40140 · 414010100000 (ING DIVIDENDOS INVERSIONES NEGOCIABLES - 52050102000000016DIVGANINTRA)</t>
  </si>
  <si>
    <t>40138 · 413530000000 (INGRESO P/G MONEDA EXTRANJERA - 52070101000000016P/GMONEDAEXT)</t>
  </si>
  <si>
    <t>40059 · 410706205000 (ING. INTERESES INV.NEGOCIABLE - 52010102020000016INTRECNEGOCIA)</t>
  </si>
  <si>
    <t>40162 · 410706209000 (GANANCIA-PERDIDA- NO REALIZADA - 52070102000000016D/NOREALIZA)</t>
  </si>
  <si>
    <t>40163 · 410706209001 (GANANCIA-PERDIDA- REALIZADA - 52070102000000016D/PREALIZADAS)</t>
  </si>
  <si>
    <t>Total 45 · INGRESOS SOBRE INVERSIONES</t>
  </si>
  <si>
    <t>46 · OTROS INGRESOS</t>
  </si>
  <si>
    <t>40142 · 41959510000 (OTROS INGRESOS, REINTEGROS - 521002010000000165550010502)</t>
  </si>
  <si>
    <t>50003 · 411525202000 (ING. COM. SERVICIO DE CUSTODIA - 52060112000000016SERV CUSTODIA)</t>
  </si>
  <si>
    <t>40087 · 411525220000 (ING COM. MISCELANEAS EXT - 52060112000000016MISCELAN EXT)</t>
  </si>
  <si>
    <t>40200 · 411525230000 (OTROS INGRESOS - 521002010000000165550010502)</t>
  </si>
  <si>
    <t>40201 · 411525240000 (ING. POR CARGOS DE T/F A CLIENTES - 52060103000000016T/F A CLIENTE)</t>
  </si>
  <si>
    <t>Total 46 · OTROS INGRESOS</t>
  </si>
  <si>
    <t>Total Income</t>
  </si>
  <si>
    <t>Gross Profit</t>
  </si>
  <si>
    <t>Expense</t>
  </si>
  <si>
    <t>01 · GASTO DE COMISIONES</t>
  </si>
  <si>
    <t>60038 · 511520100000 (GYC COMISION POR SERVICIOS BAN - 51050201000000016SERVBANCSAIOS)</t>
  </si>
  <si>
    <t>60043 · 511595205000 (GYC COMISIONES OTROS SER. CUST - 51050104000000016OTROSSERCUST)</t>
  </si>
  <si>
    <t>60044 · 511595207000 (COM CONTR. CORRESP VALORES BAN - 31000301000000016VALBANCOLOMM)</t>
  </si>
  <si>
    <t>61805 · 511595209000 (GTOS BANCARIO PERSHING - 51050201000000016GTOS PERSHING)</t>
  </si>
  <si>
    <t>61807 · 511595220000 (GTO COMISIONES DE BOLSA - 51050104000000016COM BOLSA EXT)</t>
  </si>
  <si>
    <t>Total 01 · GASTO DE COMISIONES</t>
  </si>
  <si>
    <t>02 · SALARIOS Y RESERVAS</t>
  </si>
  <si>
    <t>60051 · 512005205000 (GYC BENEFI EMPL SUELDOS - 51060101030000016SALARIO)</t>
  </si>
  <si>
    <t>60052 · 512005210000 (GYC BENEF EMPL GASTOS DE REPRE - 51060101030000016GTOREPRE)</t>
  </si>
  <si>
    <t>60056 · 512035200000 (GYC BENFI EMPL BONIF XIII MES - 51060101030000016DEC)</t>
  </si>
  <si>
    <t>60057 · 512040100000 (GYC BENEF.EMPL  VACACIONES - 51060101010000016VAC)</t>
  </si>
  <si>
    <t>60059 · 512055100000 (GYC BENEF EMPLE. PRIMA DE ANT - 51060101030000016PRIANT)</t>
  </si>
  <si>
    <t>60062 · 512075100000 (GYC BENF EMPL. INDEMN. LOCAL - 51060101030000016IND)</t>
  </si>
  <si>
    <t>60063 · 512070105000 (GYC BENF.EMPL BONIF.EMPLE SVA - 51060101030000016BONEMPSVA)</t>
  </si>
  <si>
    <t>60064 · 512085105000 (GYC BENF.EMPL SEG.S. PATRONAL - 51060103030000016SS)</t>
  </si>
  <si>
    <t>60065 · 512085110000 (GYC BENF EMPL SEG. EDUCATIVO - 51060103030000016SE)</t>
  </si>
  <si>
    <t>60066 · 512085115000 (GYC BENF EMPL. RIESGOS PROF - 51060103030000016RP)</t>
  </si>
  <si>
    <t>60071 · 512070220000 (GYC BENF DE EMPL MEJ. XIII MES - 51060103030000016BENEFXIII)</t>
  </si>
  <si>
    <t>65000 · 512070110000 (GYC BENF DE EMPL QUINQUENIO - 51060101030000016QUINQUENIO)</t>
  </si>
  <si>
    <t>Total 02 · SALARIOS Y RESERVAS</t>
  </si>
  <si>
    <t>03 · BENEFICIOS Y OTROS AL EMPLEADO</t>
  </si>
  <si>
    <t>60073 · 512095110000 (GYC OTROS BENF EMPL SERV. MEDI - 51060105020000016VID)</t>
  </si>
  <si>
    <t>60075 · 512095120000 (GYC BENF EMPLE OTROS GIMNASIO - 51060105020000016BEN)</t>
  </si>
  <si>
    <t>60309 · 512095130000 (GYC BENEF. EMPL. OTROS - 51060105020000016BEN)</t>
  </si>
  <si>
    <t>Total 03 · BENEFICIOS Y OTROS AL EMPLEADO</t>
  </si>
  <si>
    <t>04 · HONORARIOS PROFESIONALES</t>
  </si>
  <si>
    <t>60091 · 513025210000 (GYC OPE.SERVICIO DE PLANILLA - 51060302060000016PLANILLA)</t>
  </si>
  <si>
    <t>60082 · 513010100000 (GYC OPE HON REVISORIA FISCAL L - 5106031000000001666200138)</t>
  </si>
  <si>
    <t>60089 · 513025110000 (GYC OPE.HONO.PROF. OTROS - 5106031000000001666200137)</t>
  </si>
  <si>
    <t>Total 04 · HONORARIOS PROFESIONALES</t>
  </si>
  <si>
    <t>05 · GASTOS DE MANTENIMIENTO</t>
  </si>
  <si>
    <t>60121 · 516005000000 (GYC OPE MANT/SERVIDORES - 51060302060000016MANT/SERVDOR)</t>
  </si>
  <si>
    <t>60122 · 516015110000 (GYC MANT/DE EQUIPO OFICINA - 51060302070000016662901)</t>
  </si>
  <si>
    <t>60120 · 516015100000 (GYC MANT/REP MUEBLES Y ENSERES - 51060302070000016662901)</t>
  </si>
  <si>
    <t>Total 05 · GASTOS DE MANTENIMIENTO</t>
  </si>
  <si>
    <t>06 · GASTO DE DEPRECIACION</t>
  </si>
  <si>
    <t>60137 · 517510100000 (GTOS DE DEPREC.MUEBLES Y ENSER - 51080103000000016662601)</t>
  </si>
  <si>
    <t>Total 06 · GASTO DE DEPRECIACION</t>
  </si>
  <si>
    <t>07 · GASTOS DE IMPUESTOS</t>
  </si>
  <si>
    <t>60104 · 514100130000 (IMPUESTOS MUNICIPALES - 51060302040000016661106)</t>
  </si>
  <si>
    <t>60802 · 514005110200 (GTO. AVISO DE OPERACIONES - 51060302040000016661102)</t>
  </si>
  <si>
    <t>Total 07 · GASTOS DE IMPUESTOS</t>
  </si>
  <si>
    <t>08 · TASA DE REG. Y SUPERV. LICENCIA</t>
  </si>
  <si>
    <t>60801 · 514005110100 (LICENCIA DE ADMINISTRADOR DE INVERSIONES - 51060302040000016LIC ADM INVER)</t>
  </si>
  <si>
    <t>60102 · 514005110000 (TASA DE REG.Y SUPERV.LIC - 51060302040000016661108)</t>
  </si>
  <si>
    <t>Total 08 · TASA DE REG. Y SUPERV. LICENCIA</t>
  </si>
  <si>
    <t>09 · GASTOS DE VIAJES</t>
  </si>
  <si>
    <t>60151 · 519035100000 (GYC OPE GASTOS DE VIAJE - 5106030300000001666200501)</t>
  </si>
  <si>
    <t>Total 09 · GASTOS DE VIAJES</t>
  </si>
  <si>
    <t>10. · GASTOS DE FONDOS</t>
  </si>
  <si>
    <t>61085 · 519040100006 (TARIFA DE SUPERVISION FONDOS - 51060302010000016LICCORREDORES)</t>
  </si>
  <si>
    <t>Total 10. · GASTOS DE FONDOS</t>
  </si>
  <si>
    <t>12. · ALQUILERES</t>
  </si>
  <si>
    <t>60105 · 514510100000 (GTOS DE ARRENDAMIENTOS LOCALES-OPER.LOCAL - 5106020100000001666270101)</t>
  </si>
  <si>
    <t>Total 12. · ALQUILERES</t>
  </si>
  <si>
    <t>13. · PAPEL Y UTILES DE OFICINA</t>
  </si>
  <si>
    <t>60155 · 519045100000 (GYC PAPEL/UTILES DE OFICINA - 5106030700000001666200301)</t>
  </si>
  <si>
    <t>Total 13. · PAPEL Y UTILES DE OFICINA</t>
  </si>
  <si>
    <t>14 · PERDIDA   POR RIESGOS OPERATIVO</t>
  </si>
  <si>
    <t>60166 · 519095205000 (GYC DIVE.MISCE.DED.ERROR CLIEN - 5106030400000001666200113)</t>
  </si>
  <si>
    <t>Total 14 · PERDIDA   POR RIESGOS OPERATIVO</t>
  </si>
  <si>
    <t>61 · OTROS GASTOS</t>
  </si>
  <si>
    <t>60112 · 5190954000000 (GYC ESTACIONAMIENTOS CLIENTES - 51060302070000016ESTACION/CLI)</t>
  </si>
  <si>
    <t>60146 · 519005110000 (GYC SERVICIO DE ASEO - 51060206000000016LIMP Y ASEO)</t>
  </si>
  <si>
    <t>60145 · 519005105000 (GYC SERVICIOS DE VIGILANCIA - 51060302060000016SERV VIGILAN)</t>
  </si>
  <si>
    <t>60154 · 519040200000 (GYC TRANSPORTE COMERCIALES - 51060305000000016TRANSP Y TAXI)</t>
  </si>
  <si>
    <t>60149 · 519025115000 (GYC SERVICIOS PUBLICOS - 51060206000000016SERVELECTRI)</t>
  </si>
  <si>
    <t>60156 · 519045115000 (GYC GTOS DE ALMACENAJE DATA - 51060303000000016ALMACEN DATA)</t>
  </si>
  <si>
    <t>60161 · 519095125000 (GYC DIVER. REFRI Y COMIDAS LOC - 51060105040000016REFRIGE/ATENC)</t>
  </si>
  <si>
    <t>60168 · 519097215000 (GYC CARGOS POR MULTAS Y SANCIO - 51060302070000016MULTA/SANCIO)</t>
  </si>
  <si>
    <t>60183 · 519095106000 (GTO DE SERVICIOS DE TELEFONIA E INTERNET - 51060303000000016TELE/ INTER)</t>
  </si>
  <si>
    <t>61081 · 519040100002 (GYC CORREO, FLETE Y OTROS - 51060303000000016CORREO/OTROS)</t>
  </si>
  <si>
    <t>61804. · 515095106000 (GYC OTRAS ENTIDADES Y AGREMIACIONES - 51060302070000016OTRAS AGREMIA)</t>
  </si>
  <si>
    <t>Total 61 · OTROS GASTOS</t>
  </si>
  <si>
    <t>Total Expense</t>
  </si>
  <si>
    <t>Net Ordinary Income</t>
  </si>
  <si>
    <t>Net Income</t>
  </si>
  <si>
    <t>Intereses en valores negociables</t>
  </si>
  <si>
    <t xml:space="preserve">  financieros y otros, neto</t>
  </si>
  <si>
    <t>13,16,21</t>
  </si>
  <si>
    <t>3,16,21</t>
  </si>
  <si>
    <t>14,21</t>
  </si>
  <si>
    <t>16,21</t>
  </si>
  <si>
    <t>5,16,21</t>
  </si>
  <si>
    <t>7,16</t>
  </si>
  <si>
    <t>8,21</t>
  </si>
  <si>
    <t xml:space="preserve">adicional </t>
  </si>
  <si>
    <t xml:space="preserve">Capital </t>
  </si>
  <si>
    <t>actuarial</t>
  </si>
  <si>
    <t xml:space="preserve"> valuación </t>
  </si>
  <si>
    <t>51060302060000016SERVHONPROEXT</t>
  </si>
  <si>
    <t>20070201000000016COM DIF CUST</t>
  </si>
  <si>
    <t>20050302000000008CXP SEG GH</t>
  </si>
  <si>
    <t>DIFERENCIA EN PRECIO APT</t>
  </si>
  <si>
    <t>51120201000000016DIF PRECIO AP</t>
  </si>
  <si>
    <t>COMISION DIFERIDA SER CUSTODIA</t>
  </si>
  <si>
    <t>CXP SEG COLECTIVO COLABORADORE</t>
  </si>
  <si>
    <t>DIVIDENDOS</t>
  </si>
  <si>
    <t>SERV Y HONORA PROF EXTRANJEROS</t>
  </si>
  <si>
    <t>Account #                  :</t>
  </si>
  <si>
    <t>HET891086</t>
  </si>
  <si>
    <t>Account Short Name:</t>
  </si>
  <si>
    <t>VALORES BA</t>
  </si>
  <si>
    <t>Base CCY:</t>
  </si>
  <si>
    <t>USD</t>
  </si>
  <si>
    <t>Transaction Type :</t>
  </si>
  <si>
    <t xml:space="preserve"> All Transactions </t>
  </si>
  <si>
    <t xml:space="preserve"> Duration :</t>
  </si>
  <si>
    <t xml:space="preserve"> All Dates</t>
  </si>
  <si>
    <t>DATE</t>
  </si>
  <si>
    <t>ISIN</t>
  </si>
  <si>
    <t>SYMBOL</t>
  </si>
  <si>
    <t>PRICE</t>
  </si>
  <si>
    <t>ACTIVITY</t>
  </si>
  <si>
    <t>ACTIVITY DESCRIPTION</t>
  </si>
  <si>
    <t>ACCT. TYPE</t>
  </si>
  <si>
    <t>BUY/SELL</t>
  </si>
  <si>
    <t>PRINCIPAL</t>
  </si>
  <si>
    <t>INTEREST</t>
  </si>
  <si>
    <t>NET AMT.
(TRANS. CCY)</t>
  </si>
  <si>
    <t>STLMNT DATE</t>
  </si>
  <si>
    <t>REF NUMBER</t>
  </si>
  <si>
    <t>QUANTITY</t>
  </si>
  <si>
    <t>USG4109CAA65</t>
  </si>
  <si>
    <t>AIOR4258371</t>
  </si>
  <si>
    <t>MARGIN</t>
  </si>
  <si>
    <t>SELL</t>
  </si>
  <si>
    <t>Compras</t>
  </si>
  <si>
    <t>BUY</t>
  </si>
  <si>
    <t>Ventas y redenciones, neto</t>
  </si>
  <si>
    <t>USG0131LAA64</t>
  </si>
  <si>
    <t>AGMZ4114918</t>
  </si>
  <si>
    <t>USP47718AC86</t>
  </si>
  <si>
    <t>GLBY4415161</t>
  </si>
  <si>
    <t>USP47718AA21</t>
  </si>
  <si>
    <t>USP09646AE32</t>
  </si>
  <si>
    <t>BAP3845388</t>
  </si>
  <si>
    <t>INT</t>
  </si>
  <si>
    <t>Saldo inicial</t>
  </si>
  <si>
    <t>Ventas</t>
  </si>
  <si>
    <t>Saldo Final</t>
  </si>
  <si>
    <t>saldo contable</t>
  </si>
  <si>
    <t>52010102020000016INTRECNEGOCIA</t>
  </si>
  <si>
    <t>INT RECIBIDOS NEGOCIABLES</t>
  </si>
  <si>
    <t>52010105020000016PRIYDESCNEG</t>
  </si>
  <si>
    <t>PRIMA Y DESCUENTO INV.</t>
  </si>
  <si>
    <t>10120101040100016INTXCLOCAL</t>
  </si>
  <si>
    <t>INTERESES X COBRAR LOCAL</t>
  </si>
  <si>
    <t>10120101040200016INTXCEXTRAN</t>
  </si>
  <si>
    <t>INTERESES X COBRAR EXTRANJERO</t>
  </si>
  <si>
    <t>10120102010000016P/DNEGOCIABLE</t>
  </si>
  <si>
    <t>PRIMA Y DESCUENTO - NEGOCIABLE</t>
  </si>
  <si>
    <t>January through June 2016</t>
  </si>
  <si>
    <t>Jan - Jun 16</t>
  </si>
  <si>
    <t>60072 · 512095105000 (GYC BENF OTROS EMPL CAPACITACI - 51060105020000016Ben)</t>
  </si>
  <si>
    <t>60093 · 514010105000 (GYC OPE IMP VARIOS - 51060302040000016661107)</t>
  </si>
  <si>
    <t>61084 · 519040100005 (GASTOS NO DEDUCIBLES FONDOS - 5106030207000001666201501)</t>
  </si>
  <si>
    <t>11,21</t>
  </si>
  <si>
    <t>12,21</t>
  </si>
  <si>
    <t>11,12</t>
  </si>
  <si>
    <t>5,16</t>
  </si>
  <si>
    <t>3,9,16,17,21</t>
  </si>
  <si>
    <t>3,10,16,17,21</t>
  </si>
  <si>
    <t xml:space="preserve">   Venta y redenciones de valores a valor razonable con cambios </t>
  </si>
  <si>
    <t xml:space="preserve">      en resultados, neto  </t>
  </si>
  <si>
    <t xml:space="preserve">      Intereses acumulados por cobrar </t>
  </si>
  <si>
    <t>Junio</t>
  </si>
  <si>
    <t>Int. Acum por cobrar-Inversión</t>
  </si>
  <si>
    <t>A la vista extranjeros</t>
  </si>
  <si>
    <t>30 de septiembre</t>
  </si>
  <si>
    <t>Tercer trimestre</t>
  </si>
  <si>
    <t>Estado consolidado de cambios en el patrimonio</t>
  </si>
  <si>
    <t>Estado consolidado de flujos de efectivo</t>
  </si>
  <si>
    <t>Saldo de subsidiaria fusionada</t>
  </si>
  <si>
    <t>Reserva valuación actuarial</t>
  </si>
  <si>
    <t xml:space="preserve">   Pérdida de subsidiarias fusionadas</t>
  </si>
  <si>
    <t xml:space="preserve">Total de ingresos por servicios </t>
  </si>
  <si>
    <t>retenidas</t>
  </si>
  <si>
    <t>Utilidades</t>
  </si>
  <si>
    <t xml:space="preserve">   Amortización de activos intangibles y otros</t>
  </si>
  <si>
    <t xml:space="preserve">   Gastos por comisiones</t>
  </si>
  <si>
    <t>Efectivo generado de operaciones</t>
  </si>
  <si>
    <t>Ingresos de operaciones:</t>
  </si>
  <si>
    <t>Intereses ganados sobre depósitos en bancos</t>
  </si>
  <si>
    <t>Intereses ganados sobre inversiones</t>
  </si>
  <si>
    <t>Administración de activos, custodia</t>
  </si>
  <si>
    <t>y corretaje de valores</t>
  </si>
  <si>
    <t>Administración de activos, custodia y corretaje de valores</t>
  </si>
  <si>
    <t>Ingresos (resultado)</t>
  </si>
  <si>
    <t>SUCIO</t>
  </si>
  <si>
    <t>CAPITAL</t>
  </si>
  <si>
    <t>INTERES</t>
  </si>
  <si>
    <t>Salarios y otros costos del personal</t>
  </si>
  <si>
    <t xml:space="preserve">   Depreciación</t>
  </si>
  <si>
    <t>Comisiones período anterior</t>
  </si>
  <si>
    <t>Comisiones período actual</t>
  </si>
  <si>
    <t>Resultado del ejercicio</t>
  </si>
  <si>
    <t>Comisiones acumuladas por cobrar</t>
  </si>
  <si>
    <t>Intereses acumulados por cobrar depósitos período anterior</t>
  </si>
  <si>
    <t>Intereses acumulados por cobrar depósitos período actual</t>
  </si>
  <si>
    <t>20070301010000016HON FISCAL</t>
  </si>
  <si>
    <t>20050302000000016PROVRP</t>
  </si>
  <si>
    <t>20050302000000016PROVSE</t>
  </si>
  <si>
    <t>20050302000000016PROVSS</t>
  </si>
  <si>
    <t>RIESGO PROFESIONALES POR PAGAR</t>
  </si>
  <si>
    <t>SEG. EDUCATIVO PATRONO</t>
  </si>
  <si>
    <t>SEG SOCIAL PATRONO</t>
  </si>
  <si>
    <t>HONORARIOS AUDITORES FISCAL</t>
  </si>
  <si>
    <t>GASTO DE ITBMS</t>
  </si>
  <si>
    <t>51060302040000016ITBM</t>
  </si>
  <si>
    <t>52010105020000016PRIYDESCLOC</t>
  </si>
  <si>
    <t>PRIMA Y DESC- NEG LOCALES</t>
  </si>
  <si>
    <t>10120102010000016PRIYDESCLOC</t>
  </si>
  <si>
    <t>AGRICOLA SR TR SR NTREG S ISIN#USG4109CAA65 6.750% 06/18/20 B/EDTD 06/18/15 YLD 5.430 TO MAT</t>
  </si>
  <si>
    <t>Aumento por intereses</t>
  </si>
  <si>
    <t>Disminución prima</t>
  </si>
  <si>
    <t>BOND INTEREST RECEIVED</t>
  </si>
  <si>
    <t xml:space="preserve">   </t>
  </si>
  <si>
    <t>3,10,16,21</t>
  </si>
  <si>
    <t>6,21</t>
  </si>
  <si>
    <t>3200030419000001655010501</t>
  </si>
  <si>
    <t>INT RECD INTERCOMPANY (SSV ACC</t>
  </si>
  <si>
    <t>Int.dev.Depósitos - A la Vista</t>
  </si>
  <si>
    <t>320006020100000165501010101</t>
  </si>
  <si>
    <t>INT GDO DPF BDI</t>
  </si>
  <si>
    <t>Int.dev.Depósitos - A Plazo Fijo</t>
  </si>
  <si>
    <t>320006020100000165503030101</t>
  </si>
  <si>
    <t>INT GDO CTA INV G/LOC B SECURI</t>
  </si>
  <si>
    <t>Int.dev.Inv-Bonos - Letras de Gobierno - Neg.</t>
  </si>
  <si>
    <t>52030501000000016MMK PERSHING</t>
  </si>
  <si>
    <t>INT MONEY MARKET PERSHING</t>
  </si>
  <si>
    <t>5203050100000001655020303</t>
  </si>
  <si>
    <t>INT GANADOS EXT/DP CYAS OTROS</t>
  </si>
  <si>
    <t>520401040200000165502010102</t>
  </si>
  <si>
    <t>INT GDO DPF CREDICORP</t>
  </si>
  <si>
    <t>52040301000000016INT GANADO</t>
  </si>
  <si>
    <t>INT GANADO HET891086</t>
  </si>
  <si>
    <t>Prima y descuento</t>
  </si>
  <si>
    <t>Valores negociables-Bonos-Letras de Gobierno</t>
  </si>
  <si>
    <t>Validar</t>
  </si>
  <si>
    <t>Movimiento de Prima y Descto.</t>
  </si>
  <si>
    <t>periodo anterior</t>
  </si>
  <si>
    <t>perio actual</t>
  </si>
  <si>
    <t>P&amp;G del año</t>
  </si>
  <si>
    <t>prima y descuento</t>
  </si>
  <si>
    <t>pagadas en el año</t>
  </si>
  <si>
    <t xml:space="preserve">Saldos final </t>
  </si>
  <si>
    <t>Intereses acumulados por cobrar inversiones período actual</t>
  </si>
  <si>
    <t>Nota: Se reclasifica a intereses de inversiones 3,428.97</t>
  </si>
  <si>
    <t>BCMG</t>
  </si>
  <si>
    <t>30311</t>
  </si>
  <si>
    <t>20070301010000016PXPCESANTIA</t>
  </si>
  <si>
    <t>PRIMA X PAGAR/F-CESANTIA</t>
  </si>
  <si>
    <t>5106030600000001666200106</t>
  </si>
  <si>
    <t>51060302070000016DIETADIRECTOR</t>
  </si>
  <si>
    <t>5106030206000001666200103 / 51060302070000016662901</t>
  </si>
  <si>
    <t>DIETAS A DIRECTORES</t>
  </si>
  <si>
    <t>FOREIGN BOND INTEREST</t>
  </si>
  <si>
    <t>US219868BS46</t>
  </si>
  <si>
    <t>USP09646AD58</t>
  </si>
  <si>
    <t>BAP.AI</t>
  </si>
  <si>
    <t>USP15383AC95</t>
  </si>
  <si>
    <t>BNTM4541238</t>
  </si>
  <si>
    <t>US912828RE27</t>
  </si>
  <si>
    <t>TSRYS4494316</t>
  </si>
  <si>
    <t>32000401000000016INT VAL/RCRES</t>
  </si>
  <si>
    <t>INT A VAL R.C CAMBIO RESULTADO</t>
  </si>
  <si>
    <t>Ganancia neta no realizada en valores negociables</t>
  </si>
  <si>
    <t xml:space="preserve">Utilidad (pérdida) antes del impuesto sobre la renta </t>
  </si>
  <si>
    <t xml:space="preserve">  viene flujo Ingresos por intereses y comisiones</t>
  </si>
  <si>
    <t xml:space="preserve">   Utilidad (pérdida) neta</t>
  </si>
  <si>
    <t>Interes Ganado Fdo. Cesantía</t>
  </si>
  <si>
    <t>Prima pagadas en el año.</t>
  </si>
  <si>
    <t>Impuesto pagado</t>
  </si>
  <si>
    <t>Conciliación</t>
  </si>
  <si>
    <t>Institucion</t>
  </si>
  <si>
    <t>Empresa</t>
  </si>
  <si>
    <t>Pais</t>
  </si>
  <si>
    <t>region</t>
  </si>
  <si>
    <t>plaza</t>
  </si>
  <si>
    <t>localidad</t>
  </si>
  <si>
    <t>coordinada</t>
  </si>
  <si>
    <t>area origen</t>
  </si>
  <si>
    <t>fecha mov</t>
  </si>
  <si>
    <t>moneda</t>
  </si>
  <si>
    <t>mercado</t>
  </si>
  <si>
    <t>fecha oper</t>
  </si>
  <si>
    <t>cta madre</t>
  </si>
  <si>
    <t>Tipo Mov</t>
  </si>
  <si>
    <t>N1</t>
  </si>
  <si>
    <t>Importe</t>
  </si>
  <si>
    <t>Importe real</t>
  </si>
  <si>
    <t>mes</t>
  </si>
  <si>
    <t>(Todas)</t>
  </si>
  <si>
    <t>24</t>
  </si>
  <si>
    <t>052</t>
  </si>
  <si>
    <t>0024</t>
  </si>
  <si>
    <t>55</t>
  </si>
  <si>
    <t>00000000</t>
  </si>
  <si>
    <t>000000</t>
  </si>
  <si>
    <t>05023</t>
  </si>
  <si>
    <t>20170103</t>
  </si>
  <si>
    <t>0001</t>
  </si>
  <si>
    <t>0</t>
  </si>
  <si>
    <t>10120101020100</t>
  </si>
  <si>
    <t>1</t>
  </si>
  <si>
    <t>20170104</t>
  </si>
  <si>
    <t>Etiquetas de fila</t>
  </si>
  <si>
    <t>Suma de Importe real</t>
  </si>
  <si>
    <t>20170105</t>
  </si>
  <si>
    <t>20170106</t>
  </si>
  <si>
    <t>20170110</t>
  </si>
  <si>
    <t>Total general</t>
  </si>
  <si>
    <t>20170111</t>
  </si>
  <si>
    <t>20170112</t>
  </si>
  <si>
    <t>20170113</t>
  </si>
  <si>
    <t>20170116</t>
  </si>
  <si>
    <t>20170117</t>
  </si>
  <si>
    <t>20170118</t>
  </si>
  <si>
    <t>20170119</t>
  </si>
  <si>
    <t>20170120</t>
  </si>
  <si>
    <t>20170123</t>
  </si>
  <si>
    <t>20170124</t>
  </si>
  <si>
    <t>20170125</t>
  </si>
  <si>
    <t>20170126</t>
  </si>
  <si>
    <t>20170130</t>
  </si>
  <si>
    <t>20170202</t>
  </si>
  <si>
    <t>20170203</t>
  </si>
  <si>
    <t>20170206</t>
  </si>
  <si>
    <t>20170208</t>
  </si>
  <si>
    <t>reversión</t>
  </si>
  <si>
    <t>20170210</t>
  </si>
  <si>
    <t>20170213</t>
  </si>
  <si>
    <t>20170214</t>
  </si>
  <si>
    <t>20170220</t>
  </si>
  <si>
    <t>20170221</t>
  </si>
  <si>
    <t>20170223</t>
  </si>
  <si>
    <t>20170224</t>
  </si>
  <si>
    <t>20170302</t>
  </si>
  <si>
    <t>20170303</t>
  </si>
  <si>
    <t>20170306</t>
  </si>
  <si>
    <t>20170309</t>
  </si>
  <si>
    <t>20170310</t>
  </si>
  <si>
    <t>20170313</t>
  </si>
  <si>
    <t>20170314</t>
  </si>
  <si>
    <t>20170315</t>
  </si>
  <si>
    <t>20170316</t>
  </si>
  <si>
    <t>20170317</t>
  </si>
  <si>
    <t>20170320</t>
  </si>
  <si>
    <t>20170321</t>
  </si>
  <si>
    <t>20170323</t>
  </si>
  <si>
    <t>20170324</t>
  </si>
  <si>
    <t>20170327</t>
  </si>
  <si>
    <t>20170328</t>
  </si>
  <si>
    <t>20170329</t>
  </si>
  <si>
    <t>20170330</t>
  </si>
  <si>
    <t>20170331</t>
  </si>
  <si>
    <t>20170307</t>
  </si>
  <si>
    <t>20170403</t>
  </si>
  <si>
    <t>20170404</t>
  </si>
  <si>
    <t>20170405</t>
  </si>
  <si>
    <t>20170406</t>
  </si>
  <si>
    <t>20170407</t>
  </si>
  <si>
    <t>20170410</t>
  </si>
  <si>
    <t>20170412</t>
  </si>
  <si>
    <t>20170418</t>
  </si>
  <si>
    <t>20170419</t>
  </si>
  <si>
    <t>20170420</t>
  </si>
  <si>
    <t>20170421</t>
  </si>
  <si>
    <t>20170424</t>
  </si>
  <si>
    <t>20170425</t>
  </si>
  <si>
    <t>20170426</t>
  </si>
  <si>
    <t>20170427</t>
  </si>
  <si>
    <t>20170428</t>
  </si>
  <si>
    <t>20170504</t>
  </si>
  <si>
    <t>20170505</t>
  </si>
  <si>
    <t>20170508</t>
  </si>
  <si>
    <t>20170509</t>
  </si>
  <si>
    <t>20170510</t>
  </si>
  <si>
    <t>20170511</t>
  </si>
  <si>
    <t>20170512</t>
  </si>
  <si>
    <t>20170515</t>
  </si>
  <si>
    <t>20170516</t>
  </si>
  <si>
    <t>20170517</t>
  </si>
  <si>
    <t>20170518</t>
  </si>
  <si>
    <t>20170519</t>
  </si>
  <si>
    <t>20170522</t>
  </si>
  <si>
    <t>20170523</t>
  </si>
  <si>
    <t>20170524</t>
  </si>
  <si>
    <t>20170525</t>
  </si>
  <si>
    <t>20170526</t>
  </si>
  <si>
    <t>20170529</t>
  </si>
  <si>
    <t>20170530</t>
  </si>
  <si>
    <t>20170531</t>
  </si>
  <si>
    <t>20170602</t>
  </si>
  <si>
    <t>20170605</t>
  </si>
  <si>
    <t>20170606</t>
  </si>
  <si>
    <t>20170607</t>
  </si>
  <si>
    <t>20170608</t>
  </si>
  <si>
    <t>20170609</t>
  </si>
  <si>
    <t>20170612</t>
  </si>
  <si>
    <t>20170613</t>
  </si>
  <si>
    <t>20170614</t>
  </si>
  <si>
    <t>20170615</t>
  </si>
  <si>
    <t>20170616</t>
  </si>
  <si>
    <t>20170619</t>
  </si>
  <si>
    <t>20170621</t>
  </si>
  <si>
    <t>20170623</t>
  </si>
  <si>
    <t>20170626</t>
  </si>
  <si>
    <t>20170628</t>
  </si>
  <si>
    <t>20170629</t>
  </si>
  <si>
    <t>20170630</t>
  </si>
  <si>
    <t>20170704</t>
  </si>
  <si>
    <t>20170705</t>
  </si>
  <si>
    <t>20170707</t>
  </si>
  <si>
    <t>20170710</t>
  </si>
  <si>
    <t>20170711</t>
  </si>
  <si>
    <t>20170712</t>
  </si>
  <si>
    <t>20170714</t>
  </si>
  <si>
    <t>20170717</t>
  </si>
  <si>
    <t>20170719</t>
  </si>
  <si>
    <t>20170720</t>
  </si>
  <si>
    <t>20170721</t>
  </si>
  <si>
    <t>20170725</t>
  </si>
  <si>
    <t>20170726</t>
  </si>
  <si>
    <t>20170727</t>
  </si>
  <si>
    <t>20170728</t>
  </si>
  <si>
    <t>20170731</t>
  </si>
  <si>
    <t>20170802</t>
  </si>
  <si>
    <t>20170803</t>
  </si>
  <si>
    <t>20170804</t>
  </si>
  <si>
    <t>20170807</t>
  </si>
  <si>
    <t>20170809</t>
  </si>
  <si>
    <t>20170810</t>
  </si>
  <si>
    <t>20170811</t>
  </si>
  <si>
    <t>20170814</t>
  </si>
  <si>
    <t>20170815</t>
  </si>
  <si>
    <t>20170816</t>
  </si>
  <si>
    <t>20170817</t>
  </si>
  <si>
    <t>20170818</t>
  </si>
  <si>
    <t>20170821</t>
  </si>
  <si>
    <t>20170822</t>
  </si>
  <si>
    <t>20170823</t>
  </si>
  <si>
    <t>20170824</t>
  </si>
  <si>
    <t>20170825</t>
  </si>
  <si>
    <t>20170828</t>
  </si>
  <si>
    <t>20170829</t>
  </si>
  <si>
    <t>20170830</t>
  </si>
  <si>
    <t>20170831</t>
  </si>
  <si>
    <t>05022</t>
  </si>
  <si>
    <t>20170904</t>
  </si>
  <si>
    <t>20170905</t>
  </si>
  <si>
    <t>20170906</t>
  </si>
  <si>
    <t>20170907</t>
  </si>
  <si>
    <t>20170908</t>
  </si>
  <si>
    <t>20170911</t>
  </si>
  <si>
    <t>20170912</t>
  </si>
  <si>
    <t>20170913</t>
  </si>
  <si>
    <t>20170914</t>
  </si>
  <si>
    <t>20170915</t>
  </si>
  <si>
    <t>20170918</t>
  </si>
  <si>
    <t>20170919</t>
  </si>
  <si>
    <t>20170920</t>
  </si>
  <si>
    <t>20170921</t>
  </si>
  <si>
    <t>20170922</t>
  </si>
  <si>
    <t>20170925</t>
  </si>
  <si>
    <t>20170926</t>
  </si>
  <si>
    <t>20170927</t>
  </si>
  <si>
    <t>20170928</t>
  </si>
  <si>
    <t>20170929</t>
  </si>
  <si>
    <t>20171002</t>
  </si>
  <si>
    <t>20171003</t>
  </si>
  <si>
    <t>20171004</t>
  </si>
  <si>
    <t>20171005</t>
  </si>
  <si>
    <t>20171006</t>
  </si>
  <si>
    <t>20171009</t>
  </si>
  <si>
    <t>20171012</t>
  </si>
  <si>
    <t>20171013</t>
  </si>
  <si>
    <t>20171016</t>
  </si>
  <si>
    <t>20171017</t>
  </si>
  <si>
    <t>20171018</t>
  </si>
  <si>
    <t>20171019</t>
  </si>
  <si>
    <t>20171020</t>
  </si>
  <si>
    <t>20171023</t>
  </si>
  <si>
    <t>20171024</t>
  </si>
  <si>
    <t>20171025</t>
  </si>
  <si>
    <t>20171026</t>
  </si>
  <si>
    <t>20171027</t>
  </si>
  <si>
    <t>20171030</t>
  </si>
  <si>
    <t>20171031</t>
  </si>
  <si>
    <t>20171102</t>
  </si>
  <si>
    <t>20171107</t>
  </si>
  <si>
    <t>20171108</t>
  </si>
  <si>
    <t>20171109</t>
  </si>
  <si>
    <t>20171113</t>
  </si>
  <si>
    <t>20171114</t>
  </si>
  <si>
    <t>20171120</t>
  </si>
  <si>
    <t>20171121</t>
  </si>
  <si>
    <t>20171122</t>
  </si>
  <si>
    <t>20171123</t>
  </si>
  <si>
    <t>20171124</t>
  </si>
  <si>
    <t>20171127</t>
  </si>
  <si>
    <t>20171129</t>
  </si>
  <si>
    <t>20171130</t>
  </si>
  <si>
    <t>20171204</t>
  </si>
  <si>
    <t>20171205</t>
  </si>
  <si>
    <t>20171206</t>
  </si>
  <si>
    <t>20171207</t>
  </si>
  <si>
    <t>20171211</t>
  </si>
  <si>
    <t>20171212</t>
  </si>
  <si>
    <t>20171213</t>
  </si>
  <si>
    <t>20171214</t>
  </si>
  <si>
    <t>20171215</t>
  </si>
  <si>
    <t>20171218</t>
  </si>
  <si>
    <t>20171219</t>
  </si>
  <si>
    <t>20171220</t>
  </si>
  <si>
    <t>20171222</t>
  </si>
  <si>
    <t>20171226</t>
  </si>
  <si>
    <t>20171227</t>
  </si>
  <si>
    <t>20171228</t>
  </si>
  <si>
    <t>20171229</t>
  </si>
  <si>
    <t>10121012010102020001020200</t>
  </si>
  <si>
    <t>10120101020200</t>
  </si>
  <si>
    <t>20170411</t>
  </si>
  <si>
    <t>20171117</t>
  </si>
  <si>
    <t>30010303000000</t>
  </si>
  <si>
    <t>Saldo incial limpio</t>
  </si>
  <si>
    <t xml:space="preserve">Compras </t>
  </si>
  <si>
    <t xml:space="preserve"> Saldo Int y prima</t>
  </si>
  <si>
    <t>rebajar ganancia realizada</t>
  </si>
  <si>
    <t>buscar la no realizada</t>
  </si>
  <si>
    <t>US219868BS46 + 43098</t>
  </si>
  <si>
    <t>US219868BS46 + 43024</t>
  </si>
  <si>
    <t>Extranjero</t>
  </si>
  <si>
    <t>CORP ANDINA DE FOMENTO</t>
  </si>
  <si>
    <t>SNAT</t>
  </si>
  <si>
    <t>Aa3/AA-</t>
  </si>
  <si>
    <t>SEMESTRAL</t>
  </si>
  <si>
    <t>US912828RE27 + 43098</t>
  </si>
  <si>
    <t>US912828RE27 + 43073</t>
  </si>
  <si>
    <t>US TREASURY N/B</t>
  </si>
  <si>
    <t>UNITED STATES</t>
  </si>
  <si>
    <t>AAA/NR</t>
  </si>
  <si>
    <t>USG0131LAA64 + 43098</t>
  </si>
  <si>
    <t>USG0131LAA64 + 42985</t>
  </si>
  <si>
    <t>AGROMERCANTIL SENIOR TR</t>
  </si>
  <si>
    <t>CAYMAN ISLANDS</t>
  </si>
  <si>
    <t>NA/BB</t>
  </si>
  <si>
    <t>USG0131LAA64 + 43041</t>
  </si>
  <si>
    <t>USG0131LAA64 + 43052</t>
  </si>
  <si>
    <t>USG0131LAA64 + 43074</t>
  </si>
  <si>
    <t>USG4109CAA65 + 43098</t>
  </si>
  <si>
    <t>USG4109CAA65 + 43035</t>
  </si>
  <si>
    <t>AGRICOLA SENIOR TRUST</t>
  </si>
  <si>
    <t>B1/NA</t>
  </si>
  <si>
    <t>USG4109CAA65 + 43061</t>
  </si>
  <si>
    <t>USG4109CAA65 + 43070</t>
  </si>
  <si>
    <t>USG4109CAA65 + 43077</t>
  </si>
  <si>
    <t>USG4109CAA65 + 43083</t>
  </si>
  <si>
    <t>USG4109CAA65 + 43096</t>
  </si>
  <si>
    <t>USP09646AD58 + 43098</t>
  </si>
  <si>
    <t>USP09646AD58 + 43080</t>
  </si>
  <si>
    <t>BANCO DE CREDITO DEL PER</t>
  </si>
  <si>
    <t>PERU</t>
  </si>
  <si>
    <t>Baa3/BBB</t>
  </si>
  <si>
    <t>USP47718AA21 + 43098</t>
  </si>
  <si>
    <t>USP47718AA21 + 43055</t>
  </si>
  <si>
    <t>Local</t>
  </si>
  <si>
    <t>GLOBAL BANK CORPORATION</t>
  </si>
  <si>
    <t>PANAMA</t>
  </si>
  <si>
    <t>NA/BBB-</t>
  </si>
  <si>
    <t>USP47718AC86 + 43098</t>
  </si>
  <si>
    <t>USP47718AC86 + 42828</t>
  </si>
  <si>
    <t>USP47718AC86 + 42871</t>
  </si>
  <si>
    <t>SUBTOTALES</t>
  </si>
  <si>
    <t>Num
Id</t>
  </si>
  <si>
    <t>LLAVE
IsinFechaProceso</t>
  </si>
  <si>
    <t>Id Registro
Isin + Fecha de Compra</t>
  </si>
  <si>
    <r>
      <t xml:space="preserve">Fecha de Proceso
Fecha Settlemente
Fecha Valoración
</t>
    </r>
    <r>
      <rPr>
        <b/>
        <sz val="7"/>
        <color rgb="FFC00000"/>
        <rFont val="Arial"/>
        <family val="2"/>
      </rPr>
      <t>(Activity)</t>
    </r>
  </si>
  <si>
    <r>
      <t xml:space="preserve">Operacion
BUY/SELL
</t>
    </r>
    <r>
      <rPr>
        <b/>
        <sz val="7"/>
        <color rgb="FFC00000"/>
        <rFont val="Arial"/>
        <family val="2"/>
      </rPr>
      <t>(Activity)</t>
    </r>
  </si>
  <si>
    <r>
      <t xml:space="preserve">ISIN
</t>
    </r>
    <r>
      <rPr>
        <b/>
        <sz val="7"/>
        <color rgb="FFC00000"/>
        <rFont val="Arial"/>
        <family val="2"/>
      </rPr>
      <t>(Activity)</t>
    </r>
  </si>
  <si>
    <t>Mercado</t>
  </si>
  <si>
    <t>Emisor</t>
  </si>
  <si>
    <t>Tipo de Emisor</t>
  </si>
  <si>
    <t>Tipo de Instrumento</t>
  </si>
  <si>
    <t>Calificación de riesgo</t>
  </si>
  <si>
    <t>Tasa Cupón</t>
  </si>
  <si>
    <t>Periodicidad de pago cupón</t>
  </si>
  <si>
    <t>Fecha de Emisión</t>
  </si>
  <si>
    <t>Fecha de Vencimiento</t>
  </si>
  <si>
    <r>
      <t xml:space="preserve">Fecha de Compra
</t>
    </r>
    <r>
      <rPr>
        <b/>
        <sz val="7"/>
        <color rgb="FFC00000"/>
        <rFont val="Arial"/>
        <family val="2"/>
      </rPr>
      <t>(Activity)</t>
    </r>
  </si>
  <si>
    <t>Fecha Ultimo Pago de Cupon</t>
  </si>
  <si>
    <t>Filler</t>
  </si>
  <si>
    <t>Dias Transcurridos después de la compra</t>
  </si>
  <si>
    <t>Dias entre el Vencimiento y la Compra</t>
  </si>
  <si>
    <t>Días en el mes actual</t>
  </si>
  <si>
    <t>Dias Ultimo Cupon</t>
  </si>
  <si>
    <t>DayAdd</t>
  </si>
  <si>
    <r>
      <t xml:space="preserve">Valor Nominal
</t>
    </r>
    <r>
      <rPr>
        <b/>
        <sz val="7"/>
        <color rgb="FFC00000"/>
        <rFont val="Arial"/>
        <family val="2"/>
      </rPr>
      <t>(Activity)</t>
    </r>
  </si>
  <si>
    <r>
      <t xml:space="preserve">Precio de Compra Limpio
</t>
    </r>
    <r>
      <rPr>
        <b/>
        <sz val="7"/>
        <color rgb="FFC00000"/>
        <rFont val="Arial"/>
        <family val="2"/>
      </rPr>
      <t>(Activity)</t>
    </r>
  </si>
  <si>
    <t>Valor de Compra Limpio</t>
  </si>
  <si>
    <r>
      <t xml:space="preserve">Interes pagado en la compra
</t>
    </r>
    <r>
      <rPr>
        <b/>
        <sz val="7"/>
        <color rgb="FFC00000"/>
        <rFont val="Arial"/>
        <family val="2"/>
      </rPr>
      <t>(Activity)</t>
    </r>
  </si>
  <si>
    <t>Valor de Compra Sucio</t>
  </si>
  <si>
    <t>Prima ó
Descuento</t>
  </si>
  <si>
    <t>Precio Limpio Infovalmer a fecha de hoy</t>
  </si>
  <si>
    <t>Valor de Mercado Limpio a fecha hoy</t>
  </si>
  <si>
    <t>Ajuste Precio de Mercado respecto al dia anterior</t>
  </si>
  <si>
    <t>Precio sucio Infovalmer a fecha de hoy</t>
  </si>
  <si>
    <t>Valor de Mercado sucio a fecha hoy</t>
  </si>
  <si>
    <t>Prima Diaria</t>
  </si>
  <si>
    <t>Prima Amortizada</t>
  </si>
  <si>
    <t>Prima Pendiente por Amortizar</t>
  </si>
  <si>
    <t>Interes Diario</t>
  </si>
  <si>
    <t>Interes Recibidos en el Mes</t>
  </si>
  <si>
    <t>Intereses Acumulados</t>
  </si>
  <si>
    <t>Nuevas</t>
  </si>
  <si>
    <t>Mercado desde la compra</t>
  </si>
  <si>
    <t>COMISION TRADE POSICION PROPIA</t>
  </si>
  <si>
    <t>COM. DEV. CORRETAJE DE VALORES</t>
  </si>
  <si>
    <t xml:space="preserve">   Pérdida neta no realizada en valores a valor razonable </t>
  </si>
  <si>
    <t xml:space="preserve">   Impuesto pagado</t>
  </si>
  <si>
    <t xml:space="preserve">Utilidad neta </t>
  </si>
  <si>
    <t xml:space="preserve">   Ajustes para conciliar la utilidad (pérdida) neta y el efectivo neto</t>
  </si>
  <si>
    <t>Gasto de comisiones:</t>
  </si>
  <si>
    <t>y ganancia en valores</t>
  </si>
  <si>
    <t>Deterioro</t>
  </si>
  <si>
    <t>Ingresos por servicios financieros y otros:</t>
  </si>
  <si>
    <t xml:space="preserve">Estado consolidado intermedio de situación financiera </t>
  </si>
  <si>
    <t>al 31 de marzo de 2018</t>
  </si>
  <si>
    <t>por los tres meses terminado el 31 de marzo de 2018</t>
  </si>
  <si>
    <t xml:space="preserve"> (No auditado)</t>
  </si>
  <si>
    <t>Saldo al 31 de diciembre de 2016 (Auditado)</t>
  </si>
  <si>
    <t>Saldo al 31 de marzo de 2017 (No auditado)</t>
  </si>
  <si>
    <t>Saldo al 31 de diciembre de 2017 (Auditado)</t>
  </si>
  <si>
    <t>Saldo al 31 de marzo de 2018 (No auditado)</t>
  </si>
  <si>
    <t>Utilidad (pérdida) neta del período</t>
  </si>
  <si>
    <t xml:space="preserve">Estado consolidado intermedio de ganancias o pérdidas  </t>
  </si>
  <si>
    <t>Marzo</t>
  </si>
  <si>
    <t>Efectivo y equivalentes de efectivo al inicio del período</t>
  </si>
  <si>
    <t>Efectivo y equivalentes de efectivo al final del período</t>
  </si>
  <si>
    <t>Otras cuentas por cobrar</t>
  </si>
  <si>
    <t>Reserva de otras cuentas por cobrar</t>
  </si>
  <si>
    <t>Traslado de Reservas a Utilidades Retenidas</t>
  </si>
  <si>
    <t>Ajuste ejercicios anteriores impacto NIIF- 9</t>
  </si>
  <si>
    <t>51060302030000016SEG ANT DIV</t>
  </si>
  <si>
    <t xml:space="preserve">  Traslado de Reservas a Utilidades Retenidas</t>
  </si>
  <si>
    <t>Cesión a título gratuito de subsidiaria</t>
  </si>
  <si>
    <t xml:space="preserve">  Cesión a título gratuito de subsidiaria</t>
  </si>
  <si>
    <t>52010102020000016INTXCOB LOCAL</t>
  </si>
  <si>
    <t>INT RECIBIDOS NEG LOCALES</t>
  </si>
  <si>
    <t>10220201000000016COM X COB LOC</t>
  </si>
  <si>
    <t>COM X COBRAR OPER BOLSA LOC</t>
  </si>
  <si>
    <t>OTROS ACTIVOS-OTROS</t>
  </si>
  <si>
    <t>10220201000000016COMADMONAPTS</t>
  </si>
  <si>
    <t>CXC COMISIONES ADMON APTS</t>
  </si>
  <si>
    <t>10220201000000016CXC CLTES</t>
  </si>
  <si>
    <t>CXC FONDOS TRAILER FEES</t>
  </si>
  <si>
    <t>10220201000000016FONDOSPROPIOS</t>
  </si>
  <si>
    <t>CXC COMISIONES FONDOS PROPIOS</t>
  </si>
  <si>
    <t>Sell -500000.00000 parValue of TSRYS4494316 at 99.825000000</t>
  </si>
  <si>
    <t>UNITED STATES TREAS NTS 1.500% 08/31/18 B/EDTD 08/31/11 UNSOLICITED ORDER YLD 1.914 TO MAT</t>
  </si>
  <si>
    <t>P7TWJY</t>
  </si>
  <si>
    <t>US279158AB56</t>
  </si>
  <si>
    <t>ECOH.GC</t>
  </si>
  <si>
    <t>Buy 500000.00000 parValue of ECOH.GC at 105.800000000</t>
  </si>
  <si>
    <t>ECOPETROL S A NT ISIN#US279158AB56 7.625% 07/23/19 B/EDTD 07/23/09 /EU 95724 JPMORGAN YLD 3.108 TO MAT</t>
  </si>
  <si>
    <t>T3DYWK</t>
  </si>
  <si>
    <t>USG42045AB32</t>
  </si>
  <si>
    <t>AVAL3905093</t>
  </si>
  <si>
    <t>570000 GRUPO AVAL LTD SR NTREG S ISIN#USG42045AB32 4.750% 09/26/22 B/EDTD 09/26/12 RD 03/23 PD 03/26/18</t>
  </si>
  <si>
    <t>D00504</t>
  </si>
  <si>
    <t>Correct Buy 200000.00000 parValue of AIOR4258371 at 102.600000000</t>
  </si>
  <si>
    <t>AGRICOLA SR TR SR NTREG S ISIN#USG4109CAA65 6.750% 06/18/20 B/EDTD 06/18/15 /EU 98730 INVEX CAPITAL YLD 5.489 TO MAT CORRECTED CONFIRM</t>
  </si>
  <si>
    <t>T3DGEJ</t>
  </si>
  <si>
    <t>Sell -500000.00000 parValue of TSRYS4494316 at 99.793000000</t>
  </si>
  <si>
    <t>UNITED STATES TREAS NTS 1.500% 08/31/18 B/EDTD 08/31/11 UNSOLICITED ORDER YLD 1.964 TO MAT</t>
  </si>
  <si>
    <t>P7H6IV</t>
  </si>
  <si>
    <t>Correct Buy 250000.00000 parValue of BAP3845388 at 107.400000000</t>
  </si>
  <si>
    <t>BANCO DE CREDITO DELPERU PANAMA BRANCH NT FIXED TO FLTGREG ISIN#USP09646AE32 6.125% 04/24/27 B/EDTD 04/24/12 MARKET AXESS VARIABLE RATE CORRECTED CONFIRM</t>
  </si>
  <si>
    <t>T3AYY6</t>
  </si>
  <si>
    <t>Correct Buy 500000.00000 parValue of AVAL3905093 at 101.080000000</t>
  </si>
  <si>
    <t>GRUPO AVAL LTD SR NTREG S ISIN#USG42045AB32 4.750% 09/26/22 B/EDTD 09/26/12 MARKET AXESS YLD 4.483 TO MAT CORRECTED CONFIRM AS OF 03-15-18</t>
  </si>
  <si>
    <t>T3AYX9</t>
  </si>
  <si>
    <t>1000000 BANCO DE CREDITO DELPERU PANAMA BRANCH SUB NT REG S ISIN#USP09646AD58 6.875% 09/16/26 B/EDTD 09/16/11 CLB RD 03/15 PD 03/16/18</t>
  </si>
  <si>
    <t>D04648</t>
  </si>
  <si>
    <t>Sell -200000.00000 parValue of AVAL3905093 at 101.400000000</t>
  </si>
  <si>
    <t>GRUPO AVAL LTD SR NTREG S ISIN#USG42045AB32 4.750% 09/26/22 B/EDTD 09/26/12 YLD 4.405 TO MAT</t>
  </si>
  <si>
    <t>T3ANN5</t>
  </si>
  <si>
    <t>Sell -500000.00000 parValue of BNTM4541238 at 97.950000000</t>
  </si>
  <si>
    <t>BANISTMO SA ISIN#USP15383AC95 3.650% 09/19/22 B/EDTD 09/19/17 /EU 47728 CREDICORP CAPITAL YLD 4.152 TO MAT</t>
  </si>
  <si>
    <t>T279OM</t>
  </si>
  <si>
    <t>Buy 250000.00000 parValue of BAP3845388 at 107.300000000</t>
  </si>
  <si>
    <t>BANCO DE CREDITO DELPERU PANAMA BRANCH NT FIXED TO FLTGREG ISIN#USP09646AE32 6.125% 04/24/27 B/EDTD 04/24/12 /EU 47728 CREDICORP CAPITAL VARIABLE RATE</t>
  </si>
  <si>
    <t>T279S3</t>
  </si>
  <si>
    <t>Buy 636000.00000 parValue of AIOR4258371 at 102.750000000</t>
  </si>
  <si>
    <t>AGRICOLA SR TR SR NTREG S ISIN#USG4109CAA65 6.750% 06/18/20 B/EDTD 06/18/15 /EU 90217 BOFA MERRILL LYNCH YLD 5.443 TO MAT</t>
  </si>
  <si>
    <t>T26DAP</t>
  </si>
  <si>
    <t>Sell -150000.00000 parValue of AIOR4258371 at 102.800000000</t>
  </si>
  <si>
    <t>T23BXJ</t>
  </si>
  <si>
    <t>Buy 200000.00000 parValue of AIOR4258371 at 102.700000000</t>
  </si>
  <si>
    <t>AGRICOLA SR TR SR NTREG S ISIN#USG4109CAA65 6.750% 06/18/20 B/EDTD 06/18/15 /EU 97375 MORGAN STANLEY YLD 5.477 TO MAT</t>
  </si>
  <si>
    <t>T228RS</t>
  </si>
  <si>
    <t>Buy 200000.00000 parValue of AIOR4258371 at 102.740000000</t>
  </si>
  <si>
    <t>AGRICOLA SR TR SR NTREG S ISIN#USG4109CAA65 6.750% 06/18/20 B/EDTD 06/18/15 /EU 90793 JEFFERIES LLC YLD 5.458 TO MAT</t>
  </si>
  <si>
    <t>T226XY</t>
  </si>
  <si>
    <t>8000000 UNITED STATES TREAS NTS 1.500% 08/31/18 B/EDTD 08/31/11 RD 02/27 PD 02/28/18</t>
  </si>
  <si>
    <t>D80643</t>
  </si>
  <si>
    <t>Sell -230000.00000 parValue of AVAL3905093 at 101.400000000</t>
  </si>
  <si>
    <t>GRUPO AVAL LTD SR NTREG S ISIN#USG42045AB32 4.750% 09/26/22 B/EDTD 09/26/12 YLD 4.408 TO MAT</t>
  </si>
  <si>
    <t>T20S81</t>
  </si>
  <si>
    <t>Sell -230000.00000 parValue of AIOR4258371 at 103.000000000</t>
  </si>
  <si>
    <t>AGRICOLA SR TR SR NTREG S ISIN#USG4109CAA65 6.750% 06/18/20 B/EDTD 06/18/15 YLD 5.346 TO MAT</t>
  </si>
  <si>
    <t>T20TBF</t>
  </si>
  <si>
    <t>Buy 1100000.00000 parValue of TSRYS4494316 at 99.831000000</t>
  </si>
  <si>
    <t>UNITED STATES TREAS NTS 1.500% 08/31/18 B/EDTD 08/31/11 UNSOLICITED ORDER YLD 1.837 TO MAT</t>
  </si>
  <si>
    <t>P6Q9SO</t>
  </si>
  <si>
    <t>Correct Buy 170000.00000 parValue of AIOR4258371 at 102.060000000</t>
  </si>
  <si>
    <t>AGRICOLA SR TR SR NTREG S ISIN#USG4109CAA65 6.750% 06/18/20 B/EDTD 06/18/15 MARKET AXESS YLD 5.783 TO MAT CORRECTED CONFIRM AS OF 02-21-18</t>
  </si>
  <si>
    <t>T2ZDG1</t>
  </si>
  <si>
    <t>USP1265VAA00</t>
  </si>
  <si>
    <t>BGNB3880610</t>
  </si>
  <si>
    <t>Buy 100000.00000 parValue of BGNB3880610 at 107.850000000</t>
  </si>
  <si>
    <t>BANCO GNB SUDAMERIS S A SUB NT REG S ISIN#USP1265VAA00 7.500% 07/30/22 B/EDTD 07/30/12 /EU 98730 INVEX CAPITAL YLD 5.481 TO MAT</t>
  </si>
  <si>
    <t>T2ZDAD</t>
  </si>
  <si>
    <t>Buy 443000.00000 parValue of BGNB3880610 at 107.950000000</t>
  </si>
  <si>
    <t>BANCO GNB SUDAMERIS S A SUB NT REG S ISIN#USP1265VAA00 7.500% 07/30/22 B/EDTD 07/30/12 /EU 78850 WELLS FARGO ADV YLD 5.457 TO MAT</t>
  </si>
  <si>
    <t>T2ZB5D</t>
  </si>
  <si>
    <t>Sell -150000.00000 parValue of AIOR4258371 at 103.000000000</t>
  </si>
  <si>
    <t>AGRICOLA SR TR SR NTREG S ISIN#USG4109CAA65 6.750% 06/18/20 B/EDTD 06/18/15 YLD 5.353 TO MAT</t>
  </si>
  <si>
    <t>T2ZE2I</t>
  </si>
  <si>
    <t>Sell -150000.00000 parValue of AIOR4258371 at 102.950000000</t>
  </si>
  <si>
    <t>AGRICOLA SR TR SR NTREG S ISIN#USG4109CAA65 6.750% 06/18/20 B/EDTD 06/18/15 YLD 5.375 TO MAT</t>
  </si>
  <si>
    <t>T2Y90G</t>
  </si>
  <si>
    <t>Sell -450000.00000 parValue of AIOR4258371 at 103.250000000</t>
  </si>
  <si>
    <t>AGRICOLA SR TR SR NTREG S ISIN#USG4109CAA65 6.750% 06/18/20 B/EDTD 06/18/15 YLD 5.258 TO MAT</t>
  </si>
  <si>
    <t>T2U0RZ</t>
  </si>
  <si>
    <t>USP0918ZAX44</t>
  </si>
  <si>
    <t>AVAL3873197</t>
  </si>
  <si>
    <t>Buy 300000.00000 parValue of AVAL3873197 at 106.250000000</t>
  </si>
  <si>
    <t>BANCO DAVIVIENDA SA BOGOTA SUB NT REG S ISIN#USP0918ZAX44 5.875% 07/09/22 B/EDTD 07/09/12 /EU 47728 CREDICORP CAPITAL YLD 4.305 TO MAT</t>
  </si>
  <si>
    <t>T2TSBD</t>
  </si>
  <si>
    <t>Correct Buy 100000.00000 parValue of AGMZ4114918 at 102.430000000</t>
  </si>
  <si>
    <t>AGROMERCANTIL SR TR SR NT REG S ISIN#USG0131LAA64 6.250% 04/10/19 B/EDTD 04/10/14 PUTMARKET AXESS YLD 4.109 TO MAT CORRECTED CONFIRM</t>
  </si>
  <si>
    <t>T2PFTW</t>
  </si>
  <si>
    <t>Sell -200000.00000 parValue of AIOR4258371 at 102.900000000</t>
  </si>
  <si>
    <t>AGRICOLA SR TR SR NTREG S ISIN#USG4109CAA65 6.750% 06/18/20 B/EDTD 06/18/15 YLD 5.425 TO MAT</t>
  </si>
  <si>
    <t>T2K8FI</t>
  </si>
  <si>
    <t>Sell -150000.00000 parValue of AIOR4258371 at 102.850000000</t>
  </si>
  <si>
    <t>AGRICOLA SR TR SR NTREG S ISIN#USG4109CAA65 6.750% 06/18/20 B/EDTD 06/18/15 YLD 5.448 TO MAT</t>
  </si>
  <si>
    <t>T2K2XX</t>
  </si>
  <si>
    <t>Sell -200000.00000 parValue of GLBY4415161 at 102.300000000</t>
  </si>
  <si>
    <t>GLOBAL BK CORP SR NTREG S ISIN#USP47718AC86 4.500% 10/20/21 B/EDTD 10/20/16 YLD 3.830 TO MAT</t>
  </si>
  <si>
    <t>T2DNA1</t>
  </si>
  <si>
    <t>Buy 275000.00000 parValue of AVAL3873197 at 106.750000000</t>
  </si>
  <si>
    <t>BANCO DAVIVIENDA SA BOGOTA SUB NT REG S ISIN#USP0918ZAX44 5.875% 07/09/22 B/EDTD 07/09/12 /EU 98730 INVEX NC. YLD 4.198 TO MAT</t>
  </si>
  <si>
    <t>T2A87H</t>
  </si>
  <si>
    <t>Sell -400000.00000 parValue of TSRYS4494316 at 99.871000000</t>
  </si>
  <si>
    <t>UNITED STATES TREAS NTS 1.500% 08/31/18 B/EDTD 08/31/11 UNSOLICITED ORDER YLD 1.716 TO MAT</t>
  </si>
  <si>
    <t>P5E3V3</t>
  </si>
  <si>
    <t>Correct Buy 500000.00000 parValue of AVAL3905093 at 102.383000000</t>
  </si>
  <si>
    <t>GRUPO AVAL LTD SR NTREG S ISIN#USG42045AB32 4.750% 09/26/22 B/EDTD 09/26/12 MARKET AXESS YLD 4.182 TO MAT CORRECTED CONFIRM AS OF 01-18-18</t>
  </si>
  <si>
    <t>T1903F</t>
  </si>
  <si>
    <t>Buy 500000.00000 parValue of BNTM4541238 at 98.690000000</t>
  </si>
  <si>
    <t>BANISTMO SA ISIN#USP15383AC95 3.650% 09/19/22 B/EDTD 09/19/17 /EU 90793 JEFFERIES YLD 3.960 TO MAT</t>
  </si>
  <si>
    <t>T190T1</t>
  </si>
  <si>
    <t>Buy 100000.00000 parValue of AGMZ4114918 at 103.050000000</t>
  </si>
  <si>
    <t>AGROMERCANTIL SR TR SR NT REG S ISIN#USG0131LAA64 6.250% 04/10/19 B/EDTD 04/10/14 PUT/EU 47728 CREDICORP CAPITAL YLD 3.658 TO MAT</t>
  </si>
  <si>
    <t>T19ZCW</t>
  </si>
  <si>
    <t>Sell -1400000.00000 parValue of TSRYS4494316 at 99.866000000</t>
  </si>
  <si>
    <t>UNITED STATES TREAS NTS 1.500% 08/31/18 B/EDTD 08/31/11 UNSOLICITED ORDER YLD 1.721 TO MAT</t>
  </si>
  <si>
    <t>P5ANGV</t>
  </si>
  <si>
    <t>Buy 300000.00000 parValue of BAP.AI at 112.600000000</t>
  </si>
  <si>
    <t>BANCO DE CREDITO DELPERU PANAMA BRANCH SUB NT REG S ISIN#USP09646AD58 6.875% 09/16/26 B/EDTD 09/16/11 CLB /EU 90793 JEFFERIES LLC YLD 5.058 TO MAT</t>
  </si>
  <si>
    <t>T186YS</t>
  </si>
  <si>
    <t>Sell -200000.00000 parValue of AGMZ4114918 at 103.800000000</t>
  </si>
  <si>
    <t>AGROMERCANTIL SR TR SR NT REG S ISIN#USG0131LAA64 6.250% 04/10/19 B/EDTD 04/10/14 PUT YLD 3.061 TO MAT</t>
  </si>
  <si>
    <t>T188AK</t>
  </si>
  <si>
    <t>Buy 500000.00000 parValue of TSRYS4494316 at 99.897000000</t>
  </si>
  <si>
    <t>UNITED STATES TREAS NTS 1.500% 08/31/18 B/EDTD 08/31/11 UNSOLICITED ORDER YLD 1.668 TO MAT</t>
  </si>
  <si>
    <t>P4596O</t>
  </si>
  <si>
    <t>Buy 1400000.00000 parValue of TSRYS4494316 at 99.897000000</t>
  </si>
  <si>
    <t>P459XA</t>
  </si>
  <si>
    <t>P459VM</t>
  </si>
  <si>
    <t>P459K4</t>
  </si>
  <si>
    <t>GLOBAL BK CORP SR NTREG S ISIN#USP47718AC86 4.500% 10/20/21 B/EDTD 10/20/16 YLD 3.838 TO MAT</t>
  </si>
  <si>
    <t>T151RB</t>
  </si>
  <si>
    <t>Correct Buy 500000.00000 parValue of BAP.AI at 112.703000000</t>
  </si>
  <si>
    <t>BANCO DE CREDITO DELPERU PANAMA BRANCH SUB NT REG S ISIN#USP09646AD58 6.875% 09/16/26 B/EDTD 09/16/11 CLB MARKET AXESS YLD 5.049 TO MAT CORRECTED CONFIRM</t>
  </si>
  <si>
    <t>T130EV</t>
  </si>
  <si>
    <t>Sell -200000.00000 parValue of GLBY4415161 at 102.350000000</t>
  </si>
  <si>
    <t>GLOBAL BK CORP SR NTREG S ISIN#USP47718AC86 4.500% 10/20/21 B/EDTD 10/20/16 YLD 3.825 TO MAT</t>
  </si>
  <si>
    <t>T13ZVO</t>
  </si>
  <si>
    <t>Sell -300000.00000 parValue of AIOR4258371 at 103.050000000</t>
  </si>
  <si>
    <t>AGRICOLA SR TR SR NTREG S ISIN#USG4109CAA65 6.750% 06/18/20 B/EDTD 06/18/15 YLD 5.405 TO MAT</t>
  </si>
  <si>
    <t>T11QF4</t>
  </si>
  <si>
    <t>PANAMA NOTAS DEL TESORO</t>
  </si>
  <si>
    <t>Nominal</t>
  </si>
  <si>
    <t>PAL634445SA3 + 43188</t>
  </si>
  <si>
    <t>PAL634445SA3 + 43124</t>
  </si>
  <si>
    <t>PAL634445SA3</t>
  </si>
  <si>
    <t>BBB</t>
  </si>
  <si>
    <t>US219868BS46 + 43188</t>
  </si>
  <si>
    <t>US279158AB56 + 43188</t>
  </si>
  <si>
    <t>US279158AB56 + 43186</t>
  </si>
  <si>
    <t>ECOPETROL SA</t>
  </si>
  <si>
    <t>COLOMBIA</t>
  </si>
  <si>
    <t>Baa3/BBB-</t>
  </si>
  <si>
    <t>US912828RE27 + 43188</t>
  </si>
  <si>
    <t>US912828RE27 + 43117</t>
  </si>
  <si>
    <t>US912828RE27 + 43157</t>
  </si>
  <si>
    <t>USG0131LAA64 + 43188</t>
  </si>
  <si>
    <t>USG0131LAA64 + 43122</t>
  </si>
  <si>
    <t>USG0131LAA64 + 43137</t>
  </si>
  <si>
    <t>USG4109CAA65 + 43188</t>
  </si>
  <si>
    <t>USG4109CAA65 + 43161</t>
  </si>
  <si>
    <t>USG4109CAA65 + 43168</t>
  </si>
  <si>
    <t>USG4109CAA65 + 43185</t>
  </si>
  <si>
    <t>USG42045AB32 + 43188</t>
  </si>
  <si>
    <t>USG42045AB32 + 43122</t>
  </si>
  <si>
    <t>GRUPO AVAL LTD</t>
  </si>
  <si>
    <t>USG42045AB32 + 43178</t>
  </si>
  <si>
    <t>USP0918ZAX44 + 43188</t>
  </si>
  <si>
    <t>USP0918ZAX44 + 43124</t>
  </si>
  <si>
    <t>BANCO DAVIVIENDA SA</t>
  </si>
  <si>
    <t>USP0918ZAX44 + 43140</t>
  </si>
  <si>
    <t>USP09646AD58 + 43188</t>
  </si>
  <si>
    <t>USP09646AD58 + 43109</t>
  </si>
  <si>
    <t>USP09646AD58 + 43119</t>
  </si>
  <si>
    <t>USP09646AE32 + 43188</t>
  </si>
  <si>
    <t>USP09646AE32 + 43172</t>
  </si>
  <si>
    <t>USP09646AE32 + 43178</t>
  </si>
  <si>
    <t>USP1265VAA00 + 43188</t>
  </si>
  <si>
    <t>USP1265VAA00 + 43154</t>
  </si>
  <si>
    <t>GNB SUDAMERIS BANK SA</t>
  </si>
  <si>
    <t>USP47718AA21 + 43188</t>
  </si>
  <si>
    <t>USP47718AC86 + 43188</t>
  </si>
  <si>
    <t>Valor de Mercado Limpio al 31 de dic.2017</t>
  </si>
  <si>
    <t>Valor nominal actual</t>
  </si>
  <si>
    <t>Valor de Mercado Limpio al 01 de ene 2018</t>
  </si>
  <si>
    <t>Adiciones</t>
  </si>
  <si>
    <t>validar</t>
  </si>
  <si>
    <t>Intereses</t>
  </si>
  <si>
    <t>TITULOS NEGOCIABLES LOCAL</t>
  </si>
  <si>
    <t>TITULOS NEGOCIABLES EXTRANJERO</t>
  </si>
  <si>
    <t>Ganancia (pérdida) neta no realizada de valores a valor razonable con cambios en resultados</t>
  </si>
  <si>
    <t>Saldo al final del período</t>
  </si>
  <si>
    <t>Saldo al final del período portafolio</t>
  </si>
  <si>
    <t>Diferencia</t>
  </si>
  <si>
    <t xml:space="preserve">      Cesión a título gratuito de subsidiaria</t>
  </si>
  <si>
    <t>Variación intereses depositos</t>
  </si>
  <si>
    <t>Variación intereses de inversiones</t>
  </si>
  <si>
    <t>prima pagada en el año</t>
  </si>
  <si>
    <t>variación comisiones por cobrar</t>
  </si>
  <si>
    <t>pyg prima y descuento</t>
  </si>
  <si>
    <t>pyg del año</t>
  </si>
  <si>
    <t>comisiones pagadas</t>
  </si>
  <si>
    <t>comisiones x cobrar</t>
  </si>
  <si>
    <t>prima y desc</t>
  </si>
  <si>
    <t>int. X cobrar inver</t>
  </si>
  <si>
    <t>Int. X cobrar depo.</t>
  </si>
  <si>
    <t>31 de marzo  2018</t>
  </si>
  <si>
    <t>31 de diciembre  2017</t>
  </si>
  <si>
    <t>3,16,17,21</t>
  </si>
  <si>
    <t>20,21</t>
  </si>
  <si>
    <t>31 de marzo  
2018</t>
  </si>
  <si>
    <t>31 de marzo 
2017</t>
  </si>
  <si>
    <t>Ingresos por comisiones e intereses:</t>
  </si>
  <si>
    <t>Total de ingresos por comisiones e intereses</t>
  </si>
  <si>
    <t>Ingresos netos por comisiones, intereses</t>
  </si>
  <si>
    <t xml:space="preserve">Total de ingresos por comisiones, intereses </t>
  </si>
  <si>
    <t>Valores con cambios en otras utilidades integrales</t>
  </si>
  <si>
    <t xml:space="preserve">   Efectivo neto utilizado en las actividades de operación</t>
  </si>
  <si>
    <t xml:space="preserve">   Efectivo neto utitlizado en las actividades de inversión</t>
  </si>
  <si>
    <t xml:space="preserve">   Efectivo neto utilizado en las actividades de financiamiento</t>
  </si>
  <si>
    <t xml:space="preserve">   utilizado en las actividades de operación:</t>
  </si>
  <si>
    <t>Intereses acumulados por cobrar inversiones período anterior</t>
  </si>
  <si>
    <t>Intereses acumulados por cobrar inversiones</t>
  </si>
  <si>
    <t xml:space="preserve">   Financiamientos pagados</t>
  </si>
  <si>
    <t>Disminución en efectivo y equivalentes de efectivo</t>
  </si>
  <si>
    <t>Las notas en las páginas 6 a la 42 son parte integral de estos estados financieros consolidados intermedios.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</si>
</sst>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2" formatCode="_(&quot;B/.&quot;\ * #,##0_);_(&quot;B/.&quot;\ * \(#,##0\);_(&quot;B/.&quot;\ 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_);\(#,###\)"/>
    <numFmt numFmtId="168" formatCode="0.000%"/>
    <numFmt numFmtId="169" formatCode="_ * #,##0_ ;_ * \-#,##0_ ;_ * &quot;-&quot;??_ ;_ @_ "/>
    <numFmt numFmtId="170" formatCode="&quot;B/.&quot;\ #,##0.00;&quot;B/.&quot;\ \-#,##0.00"/>
    <numFmt numFmtId="171" formatCode="_-[$€-2]* #,##0.00_-;\-[$€-2]* #,##0.00_-;_-[$€-2]* &quot;-&quot;??_-"/>
    <numFmt numFmtId="172" formatCode="_-[$€-2]&quot; &quot;* #,##0.00_-;\-[$€-2]&quot; &quot;* #,##0.00_-;_-[$€-2]&quot; &quot;* &quot;-&quot;??_-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-&quot;$&quot;* #,##0.00_-;\-&quot;$&quot;* #,##0.00_-;_-&quot;$&quot;* &quot;-&quot;??_-;_-@_-"/>
    <numFmt numFmtId="176" formatCode="_-&quot; &quot;* #,##0.00_-;\-&quot; &quot;* #,##0.00_-;_-&quot; &quot;* &quot;-&quot;??_-;_-@_-"/>
    <numFmt numFmtId="177" formatCode="#,##0\ ;\(#,##0\)"/>
    <numFmt numFmtId="178" formatCode="0.00_);\(0.00\)"/>
    <numFmt numFmtId="179" formatCode="#,##0.0_);\(#,##0.0\)"/>
    <numFmt numFmtId="180" formatCode="#,##0.00\ ;\(#,##0.00\)"/>
    <numFmt numFmtId="181" formatCode="#,###_ ;[Red]\(#,###\)"/>
    <numFmt numFmtId="182" formatCode="\A\L\ [$-180A]d&quot; de &quot;mmmm&quot; de &quot;yyyy;@"/>
    <numFmt numFmtId="183" formatCode="_-* #,##0_-;\-* #,##0_-;_-* &quot;-&quot;??_-;_-@_-"/>
    <numFmt numFmtId="184" formatCode="[$-180A]d&quot; de &quot;mmmm&quot; de &quot;yyyy;@"/>
    <numFmt numFmtId="185" formatCode="0.00_);[Red]\(0.00\)"/>
    <numFmt numFmtId="186" formatCode="#,##0.00_-&quot;$&quot;;[Red]#,##0.00\-&quot;$&quot;"/>
    <numFmt numFmtId="187" formatCode="_ &quot;$&quot;* #,##0.00_ ;_ &quot;$&quot;* \-#,##0.00_ ;_ &quot;$&quot;* &quot;-&quot;??_ ;_ @_ "/>
    <numFmt numFmtId="188" formatCode="_([$B/.-180A]\ * #,##0_);_([$B/.-180A]\ * \(#,##0\);_([$B/.-180A]\ * &quot;-&quot;??_);_(@_)"/>
    <numFmt numFmtId="189" formatCode="_ &quot;$&quot;* #,##0_ ;_ &quot;$&quot;* \-#,##0_ ;_ &quot;$&quot;* &quot;-&quot;??_ ;_ @_ "/>
    <numFmt numFmtId="190" formatCode="_([$€]* #,##0.00_);_([$€]* \(#,##0.00\);_([$€]* &quot;-&quot;??_);_(@_)"/>
    <numFmt numFmtId="191" formatCode="m/d/yyyy"/>
    <numFmt numFmtId="192" formatCode="###,##0.00000000"/>
    <numFmt numFmtId="193" formatCode="##,###,##0.00#######"/>
    <numFmt numFmtId="194" formatCode="###,##0.0000"/>
    <numFmt numFmtId="195" formatCode="mm/dd/yyyy;@"/>
    <numFmt numFmtId="196" formatCode="0.000"/>
    <numFmt numFmtId="197" formatCode="#,##0.00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Times New Roman"/>
      <family val="1"/>
    </font>
    <font>
      <b/>
      <i/>
      <sz val="12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2"/>
      <color indexed="12"/>
      <name val="Arial"/>
      <family val="2"/>
    </font>
    <font>
      <sz val="11"/>
      <color indexed="19"/>
      <name val="Calibri"/>
      <family val="2"/>
    </font>
    <font>
      <sz val="12"/>
      <name val="Geneva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u val="singleAccounting"/>
      <sz val="10"/>
      <color indexed="8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u/>
      <sz val="12"/>
      <color indexed="12"/>
      <name val="Helv"/>
    </font>
    <font>
      <sz val="12"/>
      <name val="Garamond"/>
      <family val="1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1"/>
      <name val="Arial"/>
      <family val="2"/>
    </font>
    <font>
      <u val="double"/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sz val="11"/>
      <color indexed="60"/>
      <name val="Calibri"/>
      <family val="2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13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.25"/>
      <color rgb="FF000000"/>
      <name val="Segoe UI"/>
      <family val="2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color rgb="FF008000"/>
      <name val="Segoe UI"/>
      <family val="2"/>
    </font>
    <font>
      <sz val="8"/>
      <color rgb="FFFF0000"/>
      <name val="Segoe UI"/>
      <family val="2"/>
    </font>
    <font>
      <sz val="14"/>
      <name val="Arial"/>
      <family val="2"/>
    </font>
    <font>
      <b/>
      <sz val="10"/>
      <color theme="3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8"/>
      <color theme="4" tint="-0.499984740745262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7"/>
      <color rgb="FFC00000"/>
      <name val="Arial"/>
      <family val="2"/>
    </font>
    <font>
      <sz val="8"/>
      <color rgb="FFC0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EEEE"/>
        <bgColor indexed="9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CDCDC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2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4" fillId="11" borderId="0" applyNumberFormat="0" applyBorder="0" applyAlignment="0" applyProtection="0"/>
    <xf numFmtId="0" fontId="24" fillId="43" borderId="0" applyNumberFormat="0" applyBorder="0" applyAlignment="0" applyProtection="0"/>
    <xf numFmtId="0" fontId="14" fillId="15" borderId="0" applyNumberFormat="0" applyBorder="0" applyAlignment="0" applyProtection="0"/>
    <xf numFmtId="0" fontId="24" fillId="40" borderId="0" applyNumberFormat="0" applyBorder="0" applyAlignment="0" applyProtection="0"/>
    <xf numFmtId="0" fontId="14" fillId="19" borderId="0" applyNumberFormat="0" applyBorder="0" applyAlignment="0" applyProtection="0"/>
    <xf numFmtId="0" fontId="24" fillId="41" borderId="0" applyNumberFormat="0" applyBorder="0" applyAlignment="0" applyProtection="0"/>
    <xf numFmtId="0" fontId="14" fillId="23" borderId="0" applyNumberFormat="0" applyBorder="0" applyAlignment="0" applyProtection="0"/>
    <xf numFmtId="0" fontId="24" fillId="44" borderId="0" applyNumberFormat="0" applyBorder="0" applyAlignment="0" applyProtection="0"/>
    <xf numFmtId="0" fontId="14" fillId="27" borderId="0" applyNumberFormat="0" applyBorder="0" applyAlignment="0" applyProtection="0"/>
    <xf numFmtId="0" fontId="24" fillId="45" borderId="0" applyNumberFormat="0" applyBorder="0" applyAlignment="0" applyProtection="0"/>
    <xf numFmtId="0" fontId="14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35" borderId="0" applyNumberFormat="0" applyBorder="0" applyAlignment="0" applyProtection="0"/>
    <xf numFmtId="167" fontId="27" fillId="0" borderId="0">
      <alignment horizontal="right"/>
    </xf>
    <xf numFmtId="167" fontId="27" fillId="0" borderId="0">
      <alignment horizontal="right"/>
    </xf>
    <xf numFmtId="0" fontId="28" fillId="51" borderId="12" applyNumberFormat="0" applyAlignment="0" applyProtection="0"/>
    <xf numFmtId="0" fontId="28" fillId="51" borderId="12" applyNumberFormat="0" applyAlignment="0" applyProtection="0"/>
    <xf numFmtId="0" fontId="9" fillId="5" borderId="4" applyNumberFormat="0" applyAlignment="0" applyProtection="0"/>
    <xf numFmtId="0" fontId="28" fillId="51" borderId="12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0" fontId="29" fillId="0" borderId="13" applyNumberFormat="0" applyFill="0" applyAlignment="0" applyProtection="0"/>
    <xf numFmtId="0" fontId="30" fillId="52" borderId="14" applyNumberFormat="0" applyAlignment="0" applyProtection="0"/>
    <xf numFmtId="165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4" fillId="47" borderId="0" applyNumberFormat="0" applyBorder="0" applyAlignment="0" applyProtection="0"/>
    <xf numFmtId="0" fontId="14" fillId="12" borderId="0" applyNumberFormat="0" applyBorder="0" applyAlignment="0" applyProtection="0"/>
    <xf numFmtId="0" fontId="24" fillId="48" borderId="0" applyNumberFormat="0" applyBorder="0" applyAlignment="0" applyProtection="0"/>
    <xf numFmtId="0" fontId="14" fillId="16" borderId="0" applyNumberFormat="0" applyBorder="0" applyAlignment="0" applyProtection="0"/>
    <xf numFmtId="0" fontId="24" fillId="49" borderId="0" applyNumberFormat="0" applyBorder="0" applyAlignment="0" applyProtection="0"/>
    <xf numFmtId="0" fontId="14" fillId="20" borderId="0" applyNumberFormat="0" applyBorder="0" applyAlignment="0" applyProtection="0"/>
    <xf numFmtId="0" fontId="24" fillId="4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24" fillId="50" borderId="0" applyNumberFormat="0" applyBorder="0" applyAlignment="0" applyProtection="0"/>
    <xf numFmtId="0" fontId="7" fillId="4" borderId="4" applyNumberFormat="0" applyAlignment="0" applyProtection="0"/>
    <xf numFmtId="0" fontId="33" fillId="38" borderId="12" applyNumberFormat="0" applyAlignment="0" applyProtection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35" fillId="0" borderId="15">
      <alignment vertical="center"/>
    </xf>
    <xf numFmtId="0" fontId="15" fillId="0" borderId="0">
      <alignment horizontal="left"/>
    </xf>
    <xf numFmtId="167" fontId="36" fillId="0" borderId="16">
      <protection locked="0"/>
    </xf>
    <xf numFmtId="167" fontId="15" fillId="0" borderId="16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5" fillId="34" borderId="0" applyNumberFormat="0" applyBorder="0" applyAlignment="0" applyProtection="0"/>
    <xf numFmtId="0" fontId="33" fillId="38" borderId="12" applyNumberFormat="0" applyAlignment="0" applyProtection="0"/>
    <xf numFmtId="167" fontId="39" fillId="0" borderId="11">
      <alignment horizontal="right"/>
      <protection locked="0"/>
    </xf>
    <xf numFmtId="167" fontId="39" fillId="0" borderId="0">
      <alignment horizontal="right"/>
      <protection locked="0"/>
    </xf>
    <xf numFmtId="167" fontId="39" fillId="0" borderId="9">
      <alignment horizontal="right"/>
      <protection locked="0"/>
    </xf>
    <xf numFmtId="0" fontId="29" fillId="0" borderId="13" applyNumberFormat="0" applyFill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1" fillId="0" borderId="0"/>
    <xf numFmtId="0" fontId="20" fillId="0" borderId="0">
      <alignment vertical="top"/>
    </xf>
    <xf numFmtId="0" fontId="17" fillId="0" borderId="0"/>
    <xf numFmtId="0" fontId="17" fillId="0" borderId="0"/>
    <xf numFmtId="0" fontId="3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1" fillId="0" borderId="0"/>
    <xf numFmtId="0" fontId="17" fillId="0" borderId="0"/>
    <xf numFmtId="0" fontId="42" fillId="0" borderId="0"/>
    <xf numFmtId="0" fontId="17" fillId="0" borderId="0"/>
    <xf numFmtId="0" fontId="23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3" fillId="54" borderId="20" applyNumberFormat="0" applyFont="0" applyAlignment="0" applyProtection="0"/>
    <xf numFmtId="0" fontId="17" fillId="54" borderId="20" applyNumberFormat="0" applyFont="0" applyAlignment="0" applyProtection="0"/>
    <xf numFmtId="0" fontId="43" fillId="51" borderId="21" applyNumberFormat="0" applyAlignment="0" applyProtection="0"/>
    <xf numFmtId="0" fontId="43" fillId="51" borderId="21" applyNumberFormat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>
      <alignment horizontal="right" vertical="center"/>
    </xf>
    <xf numFmtId="0" fontId="8" fillId="5" borderId="5" applyNumberFormat="0" applyAlignment="0" applyProtection="0"/>
    <xf numFmtId="0" fontId="43" fillId="51" borderId="21" applyNumberFormat="0" applyAlignment="0" applyProtection="0"/>
    <xf numFmtId="0" fontId="45" fillId="0" borderId="0">
      <alignment vertical="center"/>
    </xf>
    <xf numFmtId="0" fontId="46" fillId="0" borderId="0">
      <alignment horizontal="left" vertical="center"/>
    </xf>
    <xf numFmtId="0" fontId="15" fillId="0" borderId="0"/>
    <xf numFmtId="0" fontId="15" fillId="0" borderId="0"/>
    <xf numFmtId="0" fontId="47" fillId="0" borderId="0"/>
    <xf numFmtId="0" fontId="17" fillId="0" borderId="0"/>
    <xf numFmtId="0" fontId="17" fillId="0" borderId="0"/>
    <xf numFmtId="0" fontId="35" fillId="0" borderId="0">
      <alignment horizontal="left" vertical="center"/>
    </xf>
    <xf numFmtId="0" fontId="48" fillId="0" borderId="0">
      <alignment horizontal="left"/>
    </xf>
    <xf numFmtId="0" fontId="15" fillId="0" borderId="0">
      <alignment horizontal="left"/>
    </xf>
    <xf numFmtId="0" fontId="27" fillId="0" borderId="22"/>
    <xf numFmtId="0" fontId="27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>
      <alignment horizontal="left"/>
    </xf>
    <xf numFmtId="0" fontId="49" fillId="0" borderId="0" applyNumberFormat="0" applyFill="0" applyBorder="0" applyAlignment="0" applyProtection="0"/>
    <xf numFmtId="0" fontId="47" fillId="0" borderId="0">
      <alignment horizontal="left"/>
    </xf>
    <xf numFmtId="0" fontId="2" fillId="0" borderId="1" applyNumberFormat="0" applyFill="0" applyAlignment="0" applyProtection="0"/>
    <xf numFmtId="0" fontId="37" fillId="0" borderId="17" applyNumberFormat="0" applyFill="0" applyAlignment="0" applyProtection="0"/>
    <xf numFmtId="0" fontId="3" fillId="0" borderId="2" applyNumberFormat="0" applyFill="0" applyAlignment="0" applyProtection="0"/>
    <xf numFmtId="0" fontId="38" fillId="0" borderId="18" applyNumberFormat="0" applyFill="0" applyAlignment="0" applyProtection="0"/>
    <xf numFmtId="0" fontId="4" fillId="0" borderId="3" applyNumberFormat="0" applyFill="0" applyAlignment="0" applyProtection="0"/>
    <xf numFmtId="0" fontId="32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/>
    <xf numFmtId="0" fontId="52" fillId="0" borderId="24" applyNumberFormat="0" applyFill="0" applyAlignment="0" applyProtection="0"/>
    <xf numFmtId="167" fontId="15" fillId="0" borderId="10"/>
    <xf numFmtId="0" fontId="53" fillId="0" borderId="0" applyNumberFormat="0" applyFill="0" applyBorder="0" applyAlignment="0" applyProtection="0"/>
    <xf numFmtId="0" fontId="54" fillId="0" borderId="0">
      <alignment horizontal="center"/>
    </xf>
    <xf numFmtId="0" fontId="30" fillId="52" borderId="14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3" fillId="38" borderId="12" applyNumberFormat="0" applyAlignment="0" applyProtection="0"/>
    <xf numFmtId="0" fontId="29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31" fillId="0" borderId="0"/>
    <xf numFmtId="0" fontId="64" fillId="0" borderId="0"/>
    <xf numFmtId="0" fontId="17" fillId="54" borderId="20" applyNumberFormat="0" applyFont="0" applyAlignment="0" applyProtection="0"/>
    <xf numFmtId="0" fontId="53" fillId="0" borderId="0" applyNumberFormat="0" applyFill="0" applyBorder="0" applyAlignment="0" applyProtection="0"/>
    <xf numFmtId="0" fontId="58" fillId="0" borderId="0"/>
    <xf numFmtId="187" fontId="58" fillId="0" borderId="0" applyFont="0" applyFill="0" applyBorder="0" applyAlignment="0" applyProtection="0"/>
    <xf numFmtId="173" fontId="58" fillId="0" borderId="0" applyFont="0" applyFill="0" applyBorder="0" applyAlignment="0" applyProtection="0"/>
    <xf numFmtId="41" fontId="58" fillId="0" borderId="0"/>
    <xf numFmtId="173" fontId="58" fillId="0" borderId="0" applyFont="0" applyFill="0" applyBorder="0" applyAlignment="0" applyProtection="0"/>
    <xf numFmtId="42" fontId="72" fillId="0" borderId="0"/>
    <xf numFmtId="0" fontId="76" fillId="0" borderId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30" fillId="52" borderId="14" applyNumberFormat="0" applyAlignment="0" applyProtection="0"/>
    <xf numFmtId="166" fontId="31" fillId="0" borderId="0" applyFont="0" applyFill="0" applyBorder="0" applyAlignment="0" applyProtection="0"/>
    <xf numFmtId="0" fontId="24" fillId="45" borderId="0" applyNumberFormat="0" applyBorder="0" applyAlignment="0" applyProtection="0"/>
    <xf numFmtId="190" fontId="17" fillId="0" borderId="0" applyFont="0" applyFill="0" applyBorder="0" applyAlignment="0" applyProtection="0"/>
    <xf numFmtId="0" fontId="77" fillId="53" borderId="0" applyNumberFormat="0" applyBorder="0" applyAlignment="0" applyProtection="0"/>
    <xf numFmtId="0" fontId="74" fillId="69" borderId="0" applyNumberFormat="0" applyBorder="0" applyAlignment="0" applyProtection="0"/>
    <xf numFmtId="0" fontId="23" fillId="0" borderId="0"/>
    <xf numFmtId="0" fontId="23" fillId="0" borderId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75" fillId="0" borderId="4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31" fillId="0" borderId="0" applyFont="0" applyFill="0" applyBorder="0" applyAlignment="0" applyProtection="0"/>
    <xf numFmtId="190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 applyFont="0" applyFill="0" applyBorder="0" applyAlignment="0" applyProtection="0"/>
  </cellStyleXfs>
  <cellXfs count="1037">
    <xf numFmtId="0" fontId="0" fillId="0" borderId="0" xfId="0"/>
    <xf numFmtId="0" fontId="17" fillId="32" borderId="0" xfId="0" applyFont="1" applyFill="1" applyBorder="1" applyAlignment="1"/>
    <xf numFmtId="41" fontId="17" fillId="32" borderId="0" xfId="0" applyNumberFormat="1" applyFont="1" applyFill="1" applyBorder="1" applyAlignment="1">
      <alignment horizontal="right"/>
    </xf>
    <xf numFmtId="0" fontId="17" fillId="0" borderId="0" xfId="0" applyFont="1" applyFill="1"/>
    <xf numFmtId="166" fontId="17" fillId="32" borderId="0" xfId="1" applyNumberFormat="1" applyFont="1" applyFill="1"/>
    <xf numFmtId="0" fontId="17" fillId="32" borderId="0" xfId="0" applyFont="1" applyFill="1" applyAlignment="1">
      <alignment horizontal="left"/>
    </xf>
    <xf numFmtId="41" fontId="17" fillId="32" borderId="9" xfId="0" applyNumberFormat="1" applyFont="1" applyFill="1" applyBorder="1" applyAlignment="1">
      <alignment horizontal="right"/>
    </xf>
    <xf numFmtId="0" fontId="15" fillId="32" borderId="0" xfId="223" applyFont="1" applyFill="1" applyAlignment="1">
      <alignment horizontal="left"/>
    </xf>
    <xf numFmtId="0" fontId="17" fillId="32" borderId="0" xfId="236" applyFont="1" applyFill="1" applyAlignment="1">
      <alignment horizontal="left"/>
    </xf>
    <xf numFmtId="0" fontId="16" fillId="32" borderId="0" xfId="236" applyFont="1" applyFill="1" applyBorder="1" applyAlignment="1">
      <alignment horizontal="left"/>
    </xf>
    <xf numFmtId="0" fontId="17" fillId="32" borderId="0" xfId="236" applyFont="1" applyFill="1" applyAlignment="1"/>
    <xf numFmtId="166" fontId="17" fillId="32" borderId="0" xfId="1" applyNumberFormat="1" applyFont="1" applyFill="1" applyAlignment="1"/>
    <xf numFmtId="166" fontId="17" fillId="32" borderId="0" xfId="1" applyNumberFormat="1" applyFont="1" applyFill="1" applyBorder="1" applyAlignment="1"/>
    <xf numFmtId="0" fontId="16" fillId="32" borderId="0" xfId="223" applyFont="1" applyFill="1" applyBorder="1" applyAlignment="1">
      <alignment horizontal="left"/>
    </xf>
    <xf numFmtId="0" fontId="17" fillId="32" borderId="0" xfId="223" applyFont="1" applyFill="1" applyBorder="1"/>
    <xf numFmtId="0" fontId="17" fillId="32" borderId="0" xfId="223" applyFont="1" applyFill="1" applyBorder="1" applyAlignment="1">
      <alignment horizontal="center"/>
    </xf>
    <xf numFmtId="0" fontId="17" fillId="32" borderId="0" xfId="223" applyFont="1" applyFill="1"/>
    <xf numFmtId="0" fontId="16" fillId="32" borderId="0" xfId="223" applyFont="1" applyFill="1" applyBorder="1"/>
    <xf numFmtId="0" fontId="16" fillId="32" borderId="9" xfId="223" applyFont="1" applyFill="1" applyBorder="1"/>
    <xf numFmtId="0" fontId="16" fillId="32" borderId="9" xfId="223" applyFont="1" applyFill="1" applyBorder="1" applyAlignment="1"/>
    <xf numFmtId="0" fontId="17" fillId="32" borderId="0" xfId="236" applyFont="1" applyFill="1" applyBorder="1" applyAlignment="1"/>
    <xf numFmtId="0" fontId="17" fillId="0" borderId="0" xfId="236" applyFont="1" applyFill="1" applyAlignment="1"/>
    <xf numFmtId="0" fontId="17" fillId="32" borderId="0" xfId="223" applyFont="1" applyFill="1" applyAlignment="1">
      <alignment horizontal="center"/>
    </xf>
    <xf numFmtId="0" fontId="16" fillId="32" borderId="0" xfId="223" applyFont="1" applyFill="1" applyAlignment="1">
      <alignment horizontal="left"/>
    </xf>
    <xf numFmtId="166" fontId="17" fillId="0" borderId="0" xfId="1" applyNumberFormat="1" applyFont="1" applyFill="1" applyAlignment="1"/>
    <xf numFmtId="0" fontId="17" fillId="0" borderId="0" xfId="236" applyFont="1" applyFill="1" applyBorder="1" applyAlignment="1"/>
    <xf numFmtId="166" fontId="16" fillId="0" borderId="0" xfId="198" applyNumberFormat="1" applyFont="1" applyFill="1" applyAlignment="1">
      <alignment horizontal="left"/>
    </xf>
    <xf numFmtId="0" fontId="16" fillId="0" borderId="0" xfId="236" applyFont="1" applyFill="1" applyBorder="1" applyAlignment="1">
      <alignment horizontal="left"/>
    </xf>
    <xf numFmtId="0" fontId="16" fillId="0" borderId="0" xfId="236" applyFont="1" applyFill="1" applyAlignment="1">
      <alignment horizontal="left"/>
    </xf>
    <xf numFmtId="166" fontId="17" fillId="0" borderId="0" xfId="198" applyNumberFormat="1" applyFont="1" applyFill="1" applyBorder="1"/>
    <xf numFmtId="0" fontId="17" fillId="0" borderId="0" xfId="223" applyFont="1" applyFill="1" applyBorder="1"/>
    <xf numFmtId="43" fontId="17" fillId="0" borderId="0" xfId="198" applyNumberFormat="1" applyFont="1" applyFill="1" applyBorder="1"/>
    <xf numFmtId="166" fontId="16" fillId="0" borderId="0" xfId="198" applyNumberFormat="1" applyFont="1" applyFill="1" applyBorder="1"/>
    <xf numFmtId="0" fontId="16" fillId="0" borderId="0" xfId="223" applyFont="1" applyFill="1" applyBorder="1"/>
    <xf numFmtId="43" fontId="16" fillId="0" borderId="0" xfId="198" applyNumberFormat="1" applyFont="1" applyFill="1" applyBorder="1"/>
    <xf numFmtId="166" fontId="16" fillId="0" borderId="9" xfId="198" applyNumberFormat="1" applyFont="1" applyFill="1" applyBorder="1"/>
    <xf numFmtId="0" fontId="16" fillId="0" borderId="9" xfId="223" applyFont="1" applyFill="1" applyBorder="1"/>
    <xf numFmtId="0" fontId="16" fillId="0" borderId="0" xfId="215" applyFont="1" applyFill="1" applyBorder="1" applyAlignment="1">
      <alignment vertical="top" wrapText="1"/>
    </xf>
    <xf numFmtId="0" fontId="17" fillId="0" borderId="0" xfId="215" applyNumberFormat="1" applyFont="1" applyFill="1" applyAlignment="1">
      <alignment horizontal="left"/>
    </xf>
    <xf numFmtId="0" fontId="17" fillId="0" borderId="0" xfId="215" applyFont="1" applyFill="1"/>
    <xf numFmtId="0" fontId="16" fillId="0" borderId="0" xfId="215" applyFont="1" applyFill="1" applyAlignment="1">
      <alignment horizontal="center" vertical="top" wrapText="1"/>
    </xf>
    <xf numFmtId="0" fontId="16" fillId="0" borderId="0" xfId="215" applyNumberFormat="1" applyFont="1" applyFill="1" applyAlignment="1">
      <alignment horizontal="center"/>
    </xf>
    <xf numFmtId="0" fontId="16" fillId="0" borderId="9" xfId="215" applyNumberFormat="1" applyFont="1" applyFill="1" applyBorder="1" applyAlignment="1">
      <alignment horizontal="center"/>
    </xf>
    <xf numFmtId="0" fontId="16" fillId="0" borderId="9" xfId="215" applyFont="1" applyFill="1" applyBorder="1" applyAlignment="1">
      <alignment horizontal="center"/>
    </xf>
    <xf numFmtId="0" fontId="18" fillId="0" borderId="0" xfId="215" applyNumberFormat="1" applyFont="1" applyFill="1" applyAlignment="1">
      <alignment horizontal="center"/>
    </xf>
    <xf numFmtId="166" fontId="17" fillId="0" borderId="0" xfId="198" applyNumberFormat="1" applyFont="1" applyFill="1" applyBorder="1" applyAlignment="1">
      <alignment horizontal="right"/>
    </xf>
    <xf numFmtId="166" fontId="17" fillId="0" borderId="0" xfId="198" applyNumberFormat="1" applyFont="1" applyFill="1" applyBorder="1" applyAlignment="1">
      <alignment horizontal="left"/>
    </xf>
    <xf numFmtId="166" fontId="17" fillId="0" borderId="0" xfId="198" applyNumberFormat="1" applyFont="1" applyFill="1" applyBorder="1" applyAlignment="1"/>
    <xf numFmtId="166" fontId="17" fillId="0" borderId="9" xfId="1" applyNumberFormat="1" applyFont="1" applyFill="1" applyBorder="1" applyAlignment="1">
      <alignment horizontal="right"/>
    </xf>
    <xf numFmtId="0" fontId="17" fillId="0" borderId="0" xfId="215" applyFont="1" applyFill="1" applyAlignment="1">
      <alignment vertical="top" wrapText="1"/>
    </xf>
    <xf numFmtId="0" fontId="21" fillId="0" borderId="0" xfId="215" applyFont="1" applyFill="1"/>
    <xf numFmtId="166" fontId="17" fillId="0" borderId="0" xfId="198" quotePrefix="1" applyNumberFormat="1" applyFont="1" applyFill="1" applyBorder="1" applyAlignment="1">
      <alignment horizontal="left"/>
    </xf>
    <xf numFmtId="166" fontId="17" fillId="0" borderId="0" xfId="1" quotePrefix="1" applyNumberFormat="1" applyFont="1" applyFill="1" applyBorder="1" applyAlignment="1">
      <alignment horizontal="left"/>
    </xf>
    <xf numFmtId="166" fontId="17" fillId="0" borderId="0" xfId="1" applyNumberFormat="1" applyFont="1" applyFill="1" applyAlignment="1">
      <alignment horizontal="left"/>
    </xf>
    <xf numFmtId="166" fontId="17" fillId="0" borderId="0" xfId="1" applyNumberFormat="1" applyFont="1" applyFill="1" applyAlignment="1">
      <alignment horizontal="right"/>
    </xf>
    <xf numFmtId="0" fontId="17" fillId="0" borderId="0" xfId="215" applyNumberFormat="1" applyFont="1" applyFill="1" applyAlignment="1"/>
    <xf numFmtId="0" fontId="17" fillId="32" borderId="0" xfId="215" applyFont="1" applyFill="1" applyAlignment="1">
      <alignment horizontal="left"/>
    </xf>
    <xf numFmtId="0" fontId="17" fillId="0" borderId="0" xfId="215" applyNumberFormat="1" applyFont="1" applyFill="1" applyAlignment="1">
      <alignment horizontal="right"/>
    </xf>
    <xf numFmtId="0" fontId="17" fillId="0" borderId="0" xfId="215" applyNumberFormat="1" applyFont="1" applyFill="1"/>
    <xf numFmtId="0" fontId="17" fillId="0" borderId="0" xfId="215" applyFont="1" applyFill="1" applyAlignment="1">
      <alignment horizontal="center" vertical="top" wrapText="1"/>
    </xf>
    <xf numFmtId="0" fontId="17" fillId="0" borderId="0" xfId="215" applyNumberFormat="1" applyFont="1" applyFill="1" applyAlignment="1">
      <alignment horizontal="center"/>
    </xf>
    <xf numFmtId="0" fontId="17" fillId="0" borderId="0" xfId="215" applyFont="1" applyFill="1" applyBorder="1" applyAlignment="1">
      <alignment vertical="top" wrapText="1"/>
    </xf>
    <xf numFmtId="0" fontId="17" fillId="0" borderId="0" xfId="215" applyNumberFormat="1" applyFont="1" applyFill="1" applyBorder="1" applyAlignment="1">
      <alignment horizontal="right"/>
    </xf>
    <xf numFmtId="0" fontId="17" fillId="0" borderId="0" xfId="215" applyNumberFormat="1" applyFont="1" applyFill="1" applyBorder="1" applyAlignment="1">
      <alignment horizontal="left"/>
    </xf>
    <xf numFmtId="0" fontId="16" fillId="32" borderId="0" xfId="236" applyFont="1" applyFill="1"/>
    <xf numFmtId="166" fontId="17" fillId="0" borderId="0" xfId="1" applyNumberFormat="1" applyFont="1" applyFill="1"/>
    <xf numFmtId="0" fontId="17" fillId="32" borderId="0" xfId="236" applyFont="1" applyFill="1"/>
    <xf numFmtId="0" fontId="16" fillId="0" borderId="0" xfId="0" applyFont="1" applyFill="1" applyAlignment="1">
      <alignment horizontal="left"/>
    </xf>
    <xf numFmtId="0" fontId="16" fillId="32" borderId="9" xfId="236" applyFont="1" applyFill="1" applyBorder="1" applyAlignment="1">
      <alignment horizontal="left"/>
    </xf>
    <xf numFmtId="0" fontId="17" fillId="32" borderId="0" xfId="236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236" applyFont="1" applyFill="1"/>
    <xf numFmtId="0" fontId="17" fillId="32" borderId="0" xfId="236" applyFont="1" applyFill="1" applyBorder="1"/>
    <xf numFmtId="166" fontId="17" fillId="0" borderId="0" xfId="1" applyNumberFormat="1" applyFont="1" applyFill="1" applyBorder="1"/>
    <xf numFmtId="0" fontId="17" fillId="0" borderId="0" xfId="0" applyFont="1" applyFill="1" applyBorder="1"/>
    <xf numFmtId="166" fontId="17" fillId="32" borderId="10" xfId="1" applyNumberFormat="1" applyFont="1" applyFill="1" applyBorder="1"/>
    <xf numFmtId="0" fontId="17" fillId="32" borderId="0" xfId="236" applyNumberFormat="1" applyFont="1" applyFill="1"/>
    <xf numFmtId="166" fontId="17" fillId="0" borderId="9" xfId="1" applyNumberFormat="1" applyFont="1" applyFill="1" applyBorder="1"/>
    <xf numFmtId="0" fontId="17" fillId="32" borderId="0" xfId="236" applyNumberFormat="1" applyFont="1" applyFill="1"/>
    <xf numFmtId="166" fontId="17" fillId="0" borderId="11" xfId="1" applyNumberFormat="1" applyFont="1" applyFill="1" applyBorder="1"/>
    <xf numFmtId="0" fontId="21" fillId="32" borderId="0" xfId="236" applyFont="1" applyFill="1" applyBorder="1" applyAlignment="1">
      <alignment horizontal="left"/>
    </xf>
    <xf numFmtId="0" fontId="17" fillId="32" borderId="0" xfId="236" quotePrefix="1" applyFont="1" applyFill="1" applyBorder="1" applyAlignment="1">
      <alignment horizontal="left"/>
    </xf>
    <xf numFmtId="166" fontId="17" fillId="0" borderId="0" xfId="1" applyNumberFormat="1" applyFont="1" applyFill="1" applyBorder="1" applyAlignment="1"/>
    <xf numFmtId="177" fontId="17" fillId="32" borderId="0" xfId="236" applyNumberFormat="1" applyFont="1" applyFill="1" applyBorder="1"/>
    <xf numFmtId="0" fontId="59" fillId="0" borderId="0" xfId="236" applyFont="1" applyFill="1"/>
    <xf numFmtId="0" fontId="58" fillId="0" borderId="0" xfId="236" applyFont="1" applyFill="1"/>
    <xf numFmtId="0" fontId="35" fillId="0" borderId="0" xfId="223" applyFont="1" applyFill="1" applyAlignment="1">
      <alignment horizontal="left"/>
    </xf>
    <xf numFmtId="0" fontId="59" fillId="0" borderId="0" xfId="236" applyFont="1" applyFill="1" applyAlignment="1">
      <alignment horizontal="left"/>
    </xf>
    <xf numFmtId="0" fontId="58" fillId="0" borderId="0" xfId="236" applyFont="1" applyFill="1" applyAlignment="1">
      <alignment horizontal="left"/>
    </xf>
    <xf numFmtId="0" fontId="58" fillId="0" borderId="0" xfId="236" applyFont="1" applyFill="1" applyAlignment="1"/>
    <xf numFmtId="0" fontId="58" fillId="0" borderId="0" xfId="236" applyFont="1" applyFill="1" applyBorder="1" applyAlignment="1">
      <alignment horizontal="left"/>
    </xf>
    <xf numFmtId="166" fontId="58" fillId="0" borderId="0" xfId="1" applyNumberFormat="1" applyFont="1" applyFill="1" applyBorder="1" applyAlignment="1">
      <alignment horizontal="left"/>
    </xf>
    <xf numFmtId="0" fontId="58" fillId="0" borderId="0" xfId="236" applyFont="1" applyFill="1" applyBorder="1"/>
    <xf numFmtId="0" fontId="17" fillId="0" borderId="0" xfId="223" applyFont="1" applyFill="1"/>
    <xf numFmtId="0" fontId="16" fillId="0" borderId="0" xfId="223" applyNumberFormat="1" applyFont="1" applyFill="1" applyBorder="1" applyAlignment="1">
      <alignment horizontal="center"/>
    </xf>
    <xf numFmtId="0" fontId="35" fillId="0" borderId="0" xfId="223" applyFont="1" applyFill="1" applyBorder="1" applyAlignment="1">
      <alignment horizontal="center"/>
    </xf>
    <xf numFmtId="0" fontId="16" fillId="0" borderId="9" xfId="223" applyFont="1" applyFill="1" applyBorder="1" applyAlignment="1">
      <alignment horizontal="center"/>
    </xf>
    <xf numFmtId="0" fontId="16" fillId="0" borderId="0" xfId="223" applyFont="1" applyFill="1"/>
    <xf numFmtId="166" fontId="16" fillId="0" borderId="0" xfId="1" applyNumberFormat="1" applyFont="1" applyFill="1"/>
    <xf numFmtId="177" fontId="17" fillId="0" borderId="0" xfId="223" applyNumberFormat="1" applyFont="1" applyFill="1" applyBorder="1"/>
    <xf numFmtId="177" fontId="17" fillId="0" borderId="25" xfId="223" applyNumberFormat="1" applyFont="1" applyFill="1" applyBorder="1"/>
    <xf numFmtId="177" fontId="17" fillId="0" borderId="26" xfId="223" applyNumberFormat="1" applyFont="1" applyFill="1" applyBorder="1"/>
    <xf numFmtId="166" fontId="17" fillId="0" borderId="0" xfId="223" applyNumberFormat="1" applyFont="1" applyFill="1" applyBorder="1"/>
    <xf numFmtId="177" fontId="59" fillId="0" borderId="0" xfId="223" applyNumberFormat="1" applyFont="1" applyFill="1" applyBorder="1"/>
    <xf numFmtId="179" fontId="17" fillId="0" borderId="0" xfId="223" applyNumberFormat="1" applyFont="1" applyFill="1" applyBorder="1"/>
    <xf numFmtId="43" fontId="58" fillId="0" borderId="0" xfId="1" applyFont="1" applyFill="1" applyBorder="1"/>
    <xf numFmtId="43" fontId="17" fillId="0" borderId="0" xfId="1" applyFont="1" applyFill="1" applyBorder="1"/>
    <xf numFmtId="43" fontId="59" fillId="0" borderId="0" xfId="1" applyFont="1" applyFill="1" applyBorder="1"/>
    <xf numFmtId="165" fontId="17" fillId="0" borderId="0" xfId="3" applyFont="1" applyFill="1"/>
    <xf numFmtId="177" fontId="17" fillId="0" borderId="9" xfId="223" applyNumberFormat="1" applyFont="1" applyFill="1" applyBorder="1"/>
    <xf numFmtId="177" fontId="17" fillId="0" borderId="27" xfId="223" applyNumberFormat="1" applyFont="1" applyFill="1" applyBorder="1"/>
    <xf numFmtId="166" fontId="17" fillId="0" borderId="9" xfId="223" applyNumberFormat="1" applyFont="1" applyFill="1" applyBorder="1"/>
    <xf numFmtId="0" fontId="58" fillId="0" borderId="22" xfId="236" applyFont="1" applyFill="1" applyBorder="1"/>
    <xf numFmtId="43" fontId="17" fillId="0" borderId="0" xfId="223" applyNumberFormat="1" applyFont="1" applyFill="1"/>
    <xf numFmtId="166" fontId="16" fillId="0" borderId="0" xfId="1" applyNumberFormat="1" applyFont="1" applyFill="1" applyBorder="1"/>
    <xf numFmtId="177" fontId="16" fillId="0" borderId="22" xfId="223" applyNumberFormat="1" applyFont="1" applyFill="1" applyBorder="1"/>
    <xf numFmtId="166" fontId="16" fillId="0" borderId="22" xfId="1" applyNumberFormat="1" applyFont="1" applyFill="1" applyBorder="1"/>
    <xf numFmtId="177" fontId="17" fillId="0" borderId="0" xfId="223" applyNumberFormat="1" applyFont="1" applyFill="1" applyBorder="1" applyAlignment="1">
      <alignment horizontal="right"/>
    </xf>
    <xf numFmtId="177" fontId="17" fillId="0" borderId="0" xfId="223" applyNumberFormat="1" applyFont="1" applyFill="1"/>
    <xf numFmtId="43" fontId="17" fillId="0" borderId="0" xfId="1" applyFont="1" applyFill="1"/>
    <xf numFmtId="166" fontId="17" fillId="0" borderId="0" xfId="223" applyNumberFormat="1" applyFont="1" applyFill="1" applyAlignment="1">
      <alignment horizontal="right"/>
    </xf>
    <xf numFmtId="180" fontId="17" fillId="0" borderId="0" xfId="223" applyNumberFormat="1" applyFont="1" applyFill="1"/>
    <xf numFmtId="166" fontId="17" fillId="0" borderId="0" xfId="223" applyNumberFormat="1" applyFont="1" applyFill="1"/>
    <xf numFmtId="0" fontId="17" fillId="0" borderId="0" xfId="234" applyNumberFormat="1" applyFont="1" applyFill="1" applyAlignment="1">
      <alignment horizontal="left"/>
    </xf>
    <xf numFmtId="166" fontId="58" fillId="0" borderId="0" xfId="1" applyNumberFormat="1" applyFont="1" applyFill="1"/>
    <xf numFmtId="43" fontId="16" fillId="0" borderId="28" xfId="1" applyFont="1" applyFill="1" applyBorder="1"/>
    <xf numFmtId="165" fontId="58" fillId="0" borderId="0" xfId="3" applyFont="1" applyFill="1"/>
    <xf numFmtId="43" fontId="58" fillId="0" borderId="0" xfId="1" applyFont="1" applyFill="1"/>
    <xf numFmtId="0" fontId="16" fillId="0" borderId="29" xfId="0" applyFont="1" applyFill="1" applyBorder="1" applyAlignment="1">
      <alignment horizontal="center" vertical="center"/>
    </xf>
    <xf numFmtId="181" fontId="16" fillId="0" borderId="29" xfId="234" applyNumberFormat="1" applyFont="1" applyFill="1" applyBorder="1" applyAlignment="1">
      <alignment horizontal="center" vertical="center" wrapText="1"/>
    </xf>
    <xf numFmtId="0" fontId="16" fillId="0" borderId="29" xfId="199" applyNumberFormat="1" applyFont="1" applyFill="1" applyBorder="1" applyAlignment="1">
      <alignment horizontal="center" vertical="center" wrapText="1"/>
    </xf>
    <xf numFmtId="181" fontId="17" fillId="0" borderId="0" xfId="234" applyNumberFormat="1" applyFont="1" applyFill="1"/>
    <xf numFmtId="0" fontId="17" fillId="0" borderId="0" xfId="237" applyFont="1" applyFill="1" applyAlignment="1">
      <alignment horizontal="left"/>
    </xf>
    <xf numFmtId="0" fontId="17" fillId="0" borderId="0" xfId="235" applyFont="1" applyFill="1" applyAlignment="1">
      <alignment horizontal="center" vertical="center"/>
    </xf>
    <xf numFmtId="0" fontId="17" fillId="0" borderId="0" xfId="237" applyFont="1" applyFill="1" applyAlignment="1">
      <alignment horizontal="center"/>
    </xf>
    <xf numFmtId="181" fontId="16" fillId="57" borderId="0" xfId="199" applyNumberFormat="1" applyFont="1" applyFill="1" applyAlignment="1"/>
    <xf numFmtId="181" fontId="16" fillId="57" borderId="0" xfId="199" applyNumberFormat="1" applyFont="1" applyFill="1" applyAlignment="1">
      <alignment horizontal="center"/>
    </xf>
    <xf numFmtId="181" fontId="17" fillId="57" borderId="0" xfId="199" applyNumberFormat="1" applyFont="1" applyFill="1" applyAlignment="1">
      <alignment horizontal="centerContinuous"/>
    </xf>
    <xf numFmtId="181" fontId="17" fillId="57" borderId="30" xfId="199" applyNumberFormat="1" applyFont="1" applyFill="1" applyBorder="1" applyAlignment="1">
      <alignment horizontal="centerContinuous"/>
    </xf>
    <xf numFmtId="181" fontId="17" fillId="57" borderId="0" xfId="199" applyNumberFormat="1" applyFont="1" applyFill="1" applyBorder="1" applyAlignment="1">
      <alignment horizontal="centerContinuous"/>
    </xf>
    <xf numFmtId="165" fontId="17" fillId="0" borderId="0" xfId="199" applyFont="1" applyFill="1"/>
    <xf numFmtId="181" fontId="16" fillId="57" borderId="0" xfId="199" applyNumberFormat="1" applyFont="1" applyFill="1" applyBorder="1" applyAlignment="1">
      <alignment horizontal="left"/>
    </xf>
    <xf numFmtId="181" fontId="16" fillId="57" borderId="0" xfId="199" applyNumberFormat="1" applyFont="1" applyFill="1" applyBorder="1" applyAlignment="1">
      <alignment horizontal="center"/>
    </xf>
    <xf numFmtId="181" fontId="16" fillId="57" borderId="0" xfId="199" applyNumberFormat="1" applyFont="1" applyFill="1" applyBorder="1" applyAlignment="1">
      <alignment horizontal="centerContinuous"/>
    </xf>
    <xf numFmtId="181" fontId="16" fillId="57" borderId="30" xfId="199" applyNumberFormat="1" applyFont="1" applyFill="1" applyBorder="1" applyAlignment="1">
      <alignment horizontal="centerContinuous"/>
    </xf>
    <xf numFmtId="182" fontId="16" fillId="57" borderId="9" xfId="199" applyNumberFormat="1" applyFont="1" applyFill="1" applyBorder="1" applyAlignment="1">
      <alignment horizontal="left"/>
    </xf>
    <xf numFmtId="181" fontId="16" fillId="57" borderId="9" xfId="199" applyNumberFormat="1" applyFont="1" applyFill="1" applyBorder="1" applyAlignment="1">
      <alignment horizontal="center"/>
    </xf>
    <xf numFmtId="181" fontId="17" fillId="57" borderId="9" xfId="199" applyNumberFormat="1" applyFont="1" applyFill="1" applyBorder="1" applyAlignment="1">
      <alignment horizontal="centerContinuous"/>
    </xf>
    <xf numFmtId="181" fontId="17" fillId="57" borderId="31" xfId="199" applyNumberFormat="1" applyFont="1" applyFill="1" applyBorder="1" applyAlignment="1">
      <alignment horizontal="centerContinuous"/>
    </xf>
    <xf numFmtId="181" fontId="16" fillId="57" borderId="22" xfId="199" applyNumberFormat="1" applyFont="1" applyFill="1" applyBorder="1" applyAlignment="1">
      <alignment horizontal="center"/>
    </xf>
    <xf numFmtId="181" fontId="16" fillId="57" borderId="22" xfId="199" applyNumberFormat="1" applyFont="1" applyFill="1" applyBorder="1" applyAlignment="1">
      <alignment horizontal="centerContinuous"/>
    </xf>
    <xf numFmtId="181" fontId="17" fillId="57" borderId="22" xfId="199" applyNumberFormat="1" applyFont="1" applyFill="1" applyBorder="1" applyAlignment="1">
      <alignment horizontal="centerContinuous"/>
    </xf>
    <xf numFmtId="181" fontId="17" fillId="57" borderId="22" xfId="199" applyNumberFormat="1" applyFont="1" applyFill="1" applyBorder="1" applyAlignment="1"/>
    <xf numFmtId="181" fontId="16" fillId="57" borderId="0" xfId="199" applyNumberFormat="1" applyFont="1" applyFill="1"/>
    <xf numFmtId="183" fontId="16" fillId="57" borderId="0" xfId="199" applyNumberFormat="1" applyFont="1" applyFill="1"/>
    <xf numFmtId="183" fontId="17" fillId="57" borderId="0" xfId="199" applyNumberFormat="1" applyFont="1" applyFill="1"/>
    <xf numFmtId="183" fontId="17" fillId="57" borderId="30" xfId="199" applyNumberFormat="1" applyFont="1" applyFill="1" applyBorder="1"/>
    <xf numFmtId="183" fontId="17" fillId="57" borderId="0" xfId="199" applyNumberFormat="1" applyFont="1" applyFill="1" applyBorder="1"/>
    <xf numFmtId="181" fontId="17" fillId="57" borderId="0" xfId="199" applyNumberFormat="1" applyFont="1" applyFill="1"/>
    <xf numFmtId="181" fontId="17" fillId="57" borderId="0" xfId="199" applyNumberFormat="1" applyFont="1" applyFill="1" applyAlignment="1">
      <alignment horizontal="center"/>
    </xf>
    <xf numFmtId="0" fontId="17" fillId="57" borderId="0" xfId="234" applyNumberFormat="1" applyFont="1" applyFill="1" applyBorder="1" applyAlignment="1">
      <alignment horizontal="center"/>
    </xf>
    <xf numFmtId="43" fontId="17" fillId="0" borderId="0" xfId="0" applyNumberFormat="1" applyFont="1" applyFill="1"/>
    <xf numFmtId="0" fontId="17" fillId="57" borderId="0" xfId="0" applyNumberFormat="1" applyFont="1" applyFill="1" applyAlignment="1">
      <alignment horizontal="center"/>
    </xf>
    <xf numFmtId="181" fontId="17" fillId="57" borderId="9" xfId="199" applyNumberFormat="1" applyFont="1" applyFill="1" applyBorder="1"/>
    <xf numFmtId="181" fontId="17" fillId="57" borderId="9" xfId="199" applyNumberFormat="1" applyFont="1" applyFill="1" applyBorder="1" applyAlignment="1">
      <alignment horizontal="center"/>
    </xf>
    <xf numFmtId="181" fontId="17" fillId="57" borderId="0" xfId="199" applyNumberFormat="1" applyFont="1" applyFill="1" applyBorder="1"/>
    <xf numFmtId="181" fontId="17" fillId="57" borderId="0" xfId="199" applyNumberFormat="1" applyFont="1" applyFill="1" applyBorder="1" applyAlignment="1">
      <alignment horizontal="center"/>
    </xf>
    <xf numFmtId="183" fontId="17" fillId="57" borderId="22" xfId="199" applyNumberFormat="1" applyFont="1" applyFill="1" applyBorder="1"/>
    <xf numFmtId="183" fontId="17" fillId="57" borderId="32" xfId="199" applyNumberFormat="1" applyFont="1" applyFill="1" applyBorder="1"/>
    <xf numFmtId="183" fontId="16" fillId="57" borderId="0" xfId="199" applyNumberFormat="1" applyFont="1" applyFill="1" applyBorder="1"/>
    <xf numFmtId="183" fontId="17" fillId="57" borderId="26" xfId="199" applyNumberFormat="1" applyFont="1" applyFill="1" applyBorder="1"/>
    <xf numFmtId="0" fontId="17" fillId="57" borderId="0" xfId="0" applyFont="1" applyFill="1" applyAlignment="1">
      <alignment horizontal="center"/>
    </xf>
    <xf numFmtId="183" fontId="16" fillId="57" borderId="9" xfId="199" applyNumberFormat="1" applyFont="1" applyFill="1" applyBorder="1"/>
    <xf numFmtId="183" fontId="17" fillId="57" borderId="9" xfId="199" applyNumberFormat="1" applyFont="1" applyFill="1" applyBorder="1"/>
    <xf numFmtId="183" fontId="17" fillId="57" borderId="31" xfId="199" applyNumberFormat="1" applyFont="1" applyFill="1" applyBorder="1"/>
    <xf numFmtId="181" fontId="17" fillId="57" borderId="10" xfId="199" applyNumberFormat="1" applyFont="1" applyFill="1" applyBorder="1"/>
    <xf numFmtId="181" fontId="17" fillId="57" borderId="10" xfId="199" applyNumberFormat="1" applyFont="1" applyFill="1" applyBorder="1" applyAlignment="1">
      <alignment horizontal="center"/>
    </xf>
    <xf numFmtId="183" fontId="16" fillId="57" borderId="10" xfId="199" applyNumberFormat="1" applyFont="1" applyFill="1" applyBorder="1"/>
    <xf numFmtId="183" fontId="16" fillId="57" borderId="33" xfId="199" applyNumberFormat="1" applyFont="1" applyFill="1" applyBorder="1"/>
    <xf numFmtId="183" fontId="17" fillId="57" borderId="0" xfId="199" applyNumberFormat="1" applyFont="1" applyFill="1" applyBorder="1" applyAlignment="1">
      <alignment horizontal="center"/>
    </xf>
    <xf numFmtId="181" fontId="17" fillId="57" borderId="0" xfId="199" applyNumberFormat="1" applyFont="1" applyFill="1" applyAlignment="1"/>
    <xf numFmtId="181" fontId="16" fillId="57" borderId="10" xfId="199" applyNumberFormat="1" applyFont="1" applyFill="1" applyBorder="1"/>
    <xf numFmtId="183" fontId="17" fillId="57" borderId="10" xfId="199" applyNumberFormat="1" applyFont="1" applyFill="1" applyBorder="1"/>
    <xf numFmtId="0" fontId="17" fillId="57" borderId="9" xfId="0" applyFont="1" applyFill="1" applyBorder="1" applyAlignment="1">
      <alignment horizontal="center"/>
    </xf>
    <xf numFmtId="183" fontId="17" fillId="57" borderId="27" xfId="199" applyNumberFormat="1" applyFont="1" applyFill="1" applyBorder="1"/>
    <xf numFmtId="183" fontId="17" fillId="57" borderId="33" xfId="199" applyNumberFormat="1" applyFont="1" applyFill="1" applyBorder="1"/>
    <xf numFmtId="165" fontId="16" fillId="57" borderId="16" xfId="199" applyFont="1" applyFill="1" applyBorder="1"/>
    <xf numFmtId="165" fontId="16" fillId="57" borderId="16" xfId="199" applyFont="1" applyFill="1" applyBorder="1" applyAlignment="1">
      <alignment horizontal="center"/>
    </xf>
    <xf numFmtId="183" fontId="16" fillId="57" borderId="16" xfId="199" applyNumberFormat="1" applyFont="1" applyFill="1" applyBorder="1"/>
    <xf numFmtId="183" fontId="16" fillId="57" borderId="34" xfId="199" applyNumberFormat="1" applyFont="1" applyFill="1" applyBorder="1"/>
    <xf numFmtId="165" fontId="16" fillId="57" borderId="0" xfId="199" applyFont="1" applyFill="1" applyBorder="1"/>
    <xf numFmtId="165" fontId="16" fillId="57" borderId="0" xfId="199" applyFont="1" applyFill="1" applyBorder="1" applyAlignment="1">
      <alignment horizontal="center"/>
    </xf>
    <xf numFmtId="183" fontId="16" fillId="57" borderId="30" xfId="199" applyNumberFormat="1" applyFont="1" applyFill="1" applyBorder="1"/>
    <xf numFmtId="183" fontId="16" fillId="57" borderId="0" xfId="199" applyNumberFormat="1" applyFont="1" applyFill="1" applyBorder="1" applyAlignment="1">
      <alignment horizontal="centerContinuous"/>
    </xf>
    <xf numFmtId="183" fontId="17" fillId="57" borderId="0" xfId="199" applyNumberFormat="1" applyFont="1" applyFill="1" applyBorder="1" applyAlignment="1">
      <alignment horizontal="centerContinuous"/>
    </xf>
    <xf numFmtId="183" fontId="17" fillId="57" borderId="30" xfId="199" applyNumberFormat="1" applyFont="1" applyFill="1" applyBorder="1" applyAlignment="1">
      <alignment horizontal="centerContinuous"/>
    </xf>
    <xf numFmtId="184" fontId="16" fillId="57" borderId="9" xfId="199" applyNumberFormat="1" applyFont="1" applyFill="1" applyBorder="1" applyAlignment="1">
      <alignment horizontal="left"/>
    </xf>
    <xf numFmtId="183" fontId="16" fillId="57" borderId="9" xfId="199" applyNumberFormat="1" applyFont="1" applyFill="1" applyBorder="1" applyAlignment="1">
      <alignment horizontal="centerContinuous"/>
    </xf>
    <xf numFmtId="183" fontId="17" fillId="57" borderId="9" xfId="199" applyNumberFormat="1" applyFont="1" applyFill="1" applyBorder="1" applyAlignment="1">
      <alignment horizontal="centerContinuous"/>
    </xf>
    <xf numFmtId="183" fontId="17" fillId="57" borderId="31" xfId="199" applyNumberFormat="1" applyFont="1" applyFill="1" applyBorder="1" applyAlignment="1">
      <alignment horizontal="centerContinuous"/>
    </xf>
    <xf numFmtId="183" fontId="16" fillId="57" borderId="0" xfId="199" applyNumberFormat="1" applyFont="1" applyFill="1" applyAlignment="1">
      <alignment horizontal="centerContinuous"/>
    </xf>
    <xf numFmtId="183" fontId="17" fillId="57" borderId="0" xfId="199" applyNumberFormat="1" applyFont="1" applyFill="1" applyAlignment="1">
      <alignment horizontal="centerContinuous"/>
    </xf>
    <xf numFmtId="183" fontId="17" fillId="57" borderId="0" xfId="199" applyNumberFormat="1" applyFont="1" applyFill="1" applyAlignment="1"/>
    <xf numFmtId="183" fontId="16" fillId="57" borderId="22" xfId="199" applyNumberFormat="1" applyFont="1" applyFill="1" applyBorder="1" applyAlignment="1">
      <alignment horizontal="center" vertical="center" wrapText="1"/>
    </xf>
    <xf numFmtId="183" fontId="16" fillId="57" borderId="9" xfId="199" applyNumberFormat="1" applyFont="1" applyFill="1" applyBorder="1" applyAlignment="1">
      <alignment horizontal="center"/>
    </xf>
    <xf numFmtId="183" fontId="16" fillId="57" borderId="9" xfId="199" applyNumberFormat="1" applyFont="1" applyFill="1" applyBorder="1" applyAlignment="1">
      <alignment horizontal="center" vertical="center" wrapText="1"/>
    </xf>
    <xf numFmtId="0" fontId="17" fillId="57" borderId="9" xfId="199" applyNumberFormat="1" applyFont="1" applyFill="1" applyBorder="1" applyAlignment="1">
      <alignment horizontal="center"/>
    </xf>
    <xf numFmtId="165" fontId="17" fillId="57" borderId="0" xfId="199" applyFont="1" applyFill="1" applyAlignment="1">
      <alignment horizontal="center"/>
    </xf>
    <xf numFmtId="165" fontId="16" fillId="57" borderId="10" xfId="199" applyFont="1" applyFill="1" applyBorder="1"/>
    <xf numFmtId="165" fontId="16" fillId="57" borderId="10" xfId="199" applyFont="1" applyFill="1" applyBorder="1" applyAlignment="1">
      <alignment horizontal="center"/>
    </xf>
    <xf numFmtId="0" fontId="17" fillId="57" borderId="0" xfId="199" applyNumberFormat="1" applyFont="1" applyFill="1" applyBorder="1" applyAlignment="1">
      <alignment horizontal="center"/>
    </xf>
    <xf numFmtId="181" fontId="17" fillId="57" borderId="0" xfId="234" applyNumberFormat="1" applyFont="1" applyFill="1"/>
    <xf numFmtId="181" fontId="17" fillId="57" borderId="0" xfId="234" applyNumberFormat="1" applyFont="1" applyFill="1" applyAlignment="1">
      <alignment horizontal="center"/>
    </xf>
    <xf numFmtId="183" fontId="21" fillId="57" borderId="0" xfId="199" applyNumberFormat="1" applyFont="1" applyFill="1" applyBorder="1"/>
    <xf numFmtId="181" fontId="17" fillId="57" borderId="9" xfId="199" applyNumberFormat="1" applyFont="1" applyFill="1" applyBorder="1" applyAlignment="1">
      <alignment horizontal="left"/>
    </xf>
    <xf numFmtId="165" fontId="17" fillId="57" borderId="16" xfId="199" applyFont="1" applyFill="1" applyBorder="1"/>
    <xf numFmtId="165" fontId="17" fillId="57" borderId="16" xfId="199" applyFont="1" applyFill="1" applyBorder="1" applyAlignment="1">
      <alignment horizontal="center"/>
    </xf>
    <xf numFmtId="183" fontId="17" fillId="57" borderId="0" xfId="199" applyNumberFormat="1" applyFont="1" applyFill="1" applyAlignment="1">
      <alignment horizontal="center"/>
    </xf>
    <xf numFmtId="181" fontId="16" fillId="57" borderId="0" xfId="234" applyNumberFormat="1" applyFont="1" applyFill="1" applyAlignment="1">
      <alignment horizontal="left"/>
    </xf>
    <xf numFmtId="181" fontId="16" fillId="57" borderId="0" xfId="234" applyNumberFormat="1" applyFont="1" applyFill="1" applyAlignment="1">
      <alignment horizontal="center"/>
    </xf>
    <xf numFmtId="181" fontId="16" fillId="57" borderId="0" xfId="234" applyNumberFormat="1" applyFont="1" applyFill="1" applyBorder="1" applyAlignment="1">
      <alignment horizontal="left"/>
    </xf>
    <xf numFmtId="181" fontId="16" fillId="57" borderId="0" xfId="234" applyNumberFormat="1" applyFont="1" applyFill="1" applyBorder="1" applyAlignment="1">
      <alignment horizontal="center"/>
    </xf>
    <xf numFmtId="183" fontId="16" fillId="57" borderId="30" xfId="199" applyNumberFormat="1" applyFont="1" applyFill="1" applyBorder="1" applyAlignment="1">
      <alignment horizontal="centerContinuous"/>
    </xf>
    <xf numFmtId="184" fontId="16" fillId="57" borderId="9" xfId="2" applyNumberFormat="1" applyFont="1" applyFill="1" applyBorder="1" applyAlignment="1">
      <alignment horizontal="left"/>
    </xf>
    <xf numFmtId="0" fontId="16" fillId="57" borderId="9" xfId="2" applyFont="1" applyFill="1" applyBorder="1" applyAlignment="1">
      <alignment horizontal="center"/>
    </xf>
    <xf numFmtId="183" fontId="16" fillId="57" borderId="31" xfId="199" applyNumberFormat="1" applyFont="1" applyFill="1" applyBorder="1" applyAlignment="1">
      <alignment horizontal="centerContinuous"/>
    </xf>
    <xf numFmtId="181" fontId="16" fillId="57" borderId="0" xfId="234" applyNumberFormat="1" applyFont="1" applyFill="1"/>
    <xf numFmtId="181" fontId="17" fillId="57" borderId="0" xfId="234" applyNumberFormat="1" applyFont="1" applyFill="1" applyBorder="1"/>
    <xf numFmtId="181" fontId="17" fillId="57" borderId="0" xfId="234" applyNumberFormat="1" applyFont="1" applyFill="1" applyBorder="1" applyAlignment="1">
      <alignment horizontal="center"/>
    </xf>
    <xf numFmtId="181" fontId="17" fillId="57" borderId="9" xfId="234" applyNumberFormat="1" applyFont="1" applyFill="1" applyBorder="1"/>
    <xf numFmtId="181" fontId="17" fillId="57" borderId="9" xfId="234" applyNumberFormat="1" applyFont="1" applyFill="1" applyBorder="1" applyAlignment="1">
      <alignment horizontal="center"/>
    </xf>
    <xf numFmtId="0" fontId="17" fillId="57" borderId="9" xfId="0" applyNumberFormat="1" applyFont="1" applyFill="1" applyBorder="1" applyAlignment="1">
      <alignment horizontal="center"/>
    </xf>
    <xf numFmtId="181" fontId="16" fillId="57" borderId="0" xfId="234" applyNumberFormat="1" applyFont="1" applyFill="1" applyBorder="1"/>
    <xf numFmtId="181" fontId="16" fillId="57" borderId="10" xfId="234" applyNumberFormat="1" applyFont="1" applyFill="1" applyBorder="1"/>
    <xf numFmtId="181" fontId="17" fillId="57" borderId="10" xfId="234" applyNumberFormat="1" applyFont="1" applyFill="1" applyBorder="1" applyAlignment="1">
      <alignment horizontal="center"/>
    </xf>
    <xf numFmtId="183" fontId="17" fillId="57" borderId="0" xfId="199" applyNumberFormat="1" applyFont="1" applyFill="1" applyBorder="1" applyAlignment="1">
      <alignment horizontal="right"/>
    </xf>
    <xf numFmtId="181" fontId="17" fillId="57" borderId="9" xfId="234" applyNumberFormat="1" applyFont="1" applyFill="1" applyBorder="1" applyAlignment="1">
      <alignment vertical="justify"/>
    </xf>
    <xf numFmtId="0" fontId="17" fillId="57" borderId="0" xfId="234" applyNumberFormat="1" applyFont="1" applyFill="1" applyAlignment="1">
      <alignment horizontal="center"/>
    </xf>
    <xf numFmtId="181" fontId="21" fillId="57" borderId="9" xfId="234" applyNumberFormat="1" applyFont="1" applyFill="1" applyBorder="1"/>
    <xf numFmtId="181" fontId="21" fillId="57" borderId="9" xfId="234" applyNumberFormat="1" applyFont="1" applyFill="1" applyBorder="1" applyAlignment="1">
      <alignment horizontal="center"/>
    </xf>
    <xf numFmtId="183" fontId="16" fillId="57" borderId="31" xfId="199" applyNumberFormat="1" applyFont="1" applyFill="1" applyBorder="1"/>
    <xf numFmtId="181" fontId="62" fillId="57" borderId="0" xfId="234" applyNumberFormat="1" applyFont="1" applyFill="1"/>
    <xf numFmtId="181" fontId="62" fillId="57" borderId="0" xfId="234" applyNumberFormat="1" applyFont="1" applyFill="1" applyAlignment="1">
      <alignment horizontal="center"/>
    </xf>
    <xf numFmtId="183" fontId="17" fillId="57" borderId="30" xfId="199" applyNumberFormat="1" applyFont="1" applyFill="1" applyBorder="1" applyAlignment="1">
      <alignment horizontal="right"/>
    </xf>
    <xf numFmtId="181" fontId="21" fillId="57" borderId="10" xfId="234" applyNumberFormat="1" applyFont="1" applyFill="1" applyBorder="1" applyAlignment="1"/>
    <xf numFmtId="181" fontId="17" fillId="58" borderId="0" xfId="199" applyNumberFormat="1" applyFont="1" applyFill="1"/>
    <xf numFmtId="181" fontId="21" fillId="57" borderId="0" xfId="234" applyNumberFormat="1" applyFont="1" applyFill="1" applyAlignment="1">
      <alignment horizontal="justify"/>
    </xf>
    <xf numFmtId="181" fontId="21" fillId="57" borderId="0" xfId="234" applyNumberFormat="1" applyFont="1" applyFill="1" applyAlignment="1">
      <alignment horizontal="center"/>
    </xf>
    <xf numFmtId="0" fontId="17" fillId="57" borderId="0" xfId="234" applyNumberFormat="1" applyFont="1" applyFill="1" applyBorder="1" applyAlignment="1">
      <alignment horizontal="center"/>
    </xf>
    <xf numFmtId="0" fontId="17" fillId="57" borderId="9" xfId="234" applyNumberFormat="1" applyFont="1" applyFill="1" applyBorder="1" applyAlignment="1">
      <alignment horizontal="center"/>
    </xf>
    <xf numFmtId="181" fontId="17" fillId="0" borderId="0" xfId="0" applyNumberFormat="1" applyFont="1" applyFill="1"/>
    <xf numFmtId="181" fontId="17" fillId="57" borderId="10" xfId="234" applyNumberFormat="1" applyFont="1" applyFill="1" applyBorder="1"/>
    <xf numFmtId="181" fontId="17" fillId="57" borderId="11" xfId="234" applyNumberFormat="1" applyFont="1" applyFill="1" applyBorder="1"/>
    <xf numFmtId="181" fontId="62" fillId="57" borderId="11" xfId="199" applyNumberFormat="1" applyFont="1" applyFill="1" applyBorder="1" applyAlignment="1">
      <alignment horizontal="center"/>
    </xf>
    <xf numFmtId="183" fontId="16" fillId="57" borderId="11" xfId="199" applyNumberFormat="1" applyFont="1" applyFill="1" applyBorder="1"/>
    <xf numFmtId="183" fontId="16" fillId="57" borderId="36" xfId="199" applyNumberFormat="1" applyFont="1" applyFill="1" applyBorder="1"/>
    <xf numFmtId="181" fontId="62" fillId="57" borderId="0" xfId="234" applyNumberFormat="1" applyFont="1" applyFill="1" applyBorder="1"/>
    <xf numFmtId="181" fontId="62" fillId="57" borderId="0" xfId="234" applyNumberFormat="1" applyFont="1" applyFill="1" applyBorder="1" applyAlignment="1">
      <alignment horizontal="center"/>
    </xf>
    <xf numFmtId="183" fontId="16" fillId="57" borderId="0" xfId="234" applyNumberFormat="1" applyFont="1" applyFill="1" applyAlignment="1">
      <alignment horizontal="centerContinuous"/>
    </xf>
    <xf numFmtId="184" fontId="16" fillId="57" borderId="9" xfId="234" applyNumberFormat="1" applyFont="1" applyFill="1" applyBorder="1" applyAlignment="1">
      <alignment horizontal="left"/>
    </xf>
    <xf numFmtId="181" fontId="16" fillId="57" borderId="9" xfId="234" applyNumberFormat="1" applyFont="1" applyFill="1" applyBorder="1" applyAlignment="1">
      <alignment horizontal="center"/>
    </xf>
    <xf numFmtId="183" fontId="16" fillId="57" borderId="9" xfId="234" applyNumberFormat="1" applyFont="1" applyFill="1" applyBorder="1" applyAlignment="1">
      <alignment horizontal="centerContinuous"/>
    </xf>
    <xf numFmtId="183" fontId="16" fillId="57" borderId="0" xfId="199" applyNumberFormat="1" applyFont="1" applyFill="1" applyBorder="1" applyAlignment="1">
      <alignment horizontal="center"/>
    </xf>
    <xf numFmtId="181" fontId="21" fillId="57" borderId="0" xfId="234" applyNumberFormat="1" applyFont="1" applyFill="1"/>
    <xf numFmtId="0" fontId="17" fillId="0" borderId="9" xfId="0" applyFont="1" applyFill="1" applyBorder="1"/>
    <xf numFmtId="181" fontId="62" fillId="57" borderId="11" xfId="234" applyNumberFormat="1" applyFont="1" applyFill="1" applyBorder="1"/>
    <xf numFmtId="181" fontId="62" fillId="57" borderId="11" xfId="234" applyNumberFormat="1" applyFont="1" applyFill="1" applyBorder="1" applyAlignment="1">
      <alignment horizontal="center"/>
    </xf>
    <xf numFmtId="181" fontId="17" fillId="0" borderId="0" xfId="234" applyNumberFormat="1" applyFont="1" applyFill="1" applyAlignment="1">
      <alignment horizontal="center"/>
    </xf>
    <xf numFmtId="181" fontId="17" fillId="59" borderId="0" xfId="234" applyNumberFormat="1" applyFont="1" applyFill="1" applyAlignment="1">
      <alignment horizontal="center"/>
    </xf>
    <xf numFmtId="185" fontId="17" fillId="0" borderId="0" xfId="199" applyNumberFormat="1" applyFont="1" applyFill="1"/>
    <xf numFmtId="185" fontId="17" fillId="57" borderId="0" xfId="199" applyNumberFormat="1" applyFont="1" applyFill="1"/>
    <xf numFmtId="185" fontId="17" fillId="0" borderId="0" xfId="234" applyNumberFormat="1" applyFont="1" applyFill="1"/>
    <xf numFmtId="185" fontId="17" fillId="59" borderId="0" xfId="199" applyNumberFormat="1" applyFont="1" applyFill="1"/>
    <xf numFmtId="0" fontId="17" fillId="59" borderId="0" xfId="0" applyFont="1" applyFill="1"/>
    <xf numFmtId="185" fontId="17" fillId="0" borderId="0" xfId="0" applyNumberFormat="1" applyFont="1" applyFill="1"/>
    <xf numFmtId="185" fontId="17" fillId="59" borderId="0" xfId="0" applyNumberFormat="1" applyFont="1" applyFill="1"/>
    <xf numFmtId="181" fontId="17" fillId="59" borderId="0" xfId="0" applyNumberFormat="1" applyFont="1" applyFill="1"/>
    <xf numFmtId="43" fontId="16" fillId="57" borderId="0" xfId="1" applyFont="1" applyFill="1" applyAlignment="1">
      <alignment horizontal="centerContinuous"/>
    </xf>
    <xf numFmtId="43" fontId="16" fillId="57" borderId="0" xfId="1" applyFont="1" applyFill="1" applyBorder="1" applyAlignment="1">
      <alignment horizontal="centerContinuous"/>
    </xf>
    <xf numFmtId="43" fontId="16" fillId="57" borderId="9" xfId="1" applyFont="1" applyFill="1" applyBorder="1" applyAlignment="1">
      <alignment horizontal="centerContinuous"/>
    </xf>
    <xf numFmtId="43" fontId="16" fillId="57" borderId="0" xfId="1" applyFont="1" applyFill="1"/>
    <xf numFmtId="43" fontId="16" fillId="57" borderId="22" xfId="1" applyFont="1" applyFill="1" applyBorder="1"/>
    <xf numFmtId="43" fontId="16" fillId="57" borderId="0" xfId="1" applyFont="1" applyFill="1" applyBorder="1"/>
    <xf numFmtId="43" fontId="16" fillId="57" borderId="9" xfId="1" applyFont="1" applyFill="1" applyBorder="1"/>
    <xf numFmtId="43" fontId="16" fillId="57" borderId="10" xfId="1" applyFont="1" applyFill="1" applyBorder="1"/>
    <xf numFmtId="43" fontId="16" fillId="57" borderId="16" xfId="1" applyFont="1" applyFill="1" applyBorder="1"/>
    <xf numFmtId="43" fontId="16" fillId="57" borderId="0" xfId="1" applyFont="1" applyFill="1" applyAlignment="1"/>
    <xf numFmtId="43" fontId="16" fillId="57" borderId="9" xfId="1" applyFont="1" applyFill="1" applyBorder="1" applyAlignment="1">
      <alignment horizontal="center"/>
    </xf>
    <xf numFmtId="43" fontId="17" fillId="57" borderId="35" xfId="1" applyFont="1" applyFill="1" applyBorder="1"/>
    <xf numFmtId="43" fontId="17" fillId="57" borderId="0" xfId="1" applyFont="1" applyFill="1" applyBorder="1"/>
    <xf numFmtId="43" fontId="17" fillId="57" borderId="0" xfId="1" applyFont="1" applyFill="1"/>
    <xf numFmtId="43" fontId="17" fillId="57" borderId="0" xfId="1" applyFont="1" applyFill="1" applyBorder="1" applyAlignment="1">
      <alignment horizontal="right"/>
    </xf>
    <xf numFmtId="43" fontId="17" fillId="57" borderId="9" xfId="1" applyFont="1" applyFill="1" applyBorder="1" applyAlignment="1">
      <alignment horizontal="right"/>
    </xf>
    <xf numFmtId="43" fontId="17" fillId="57" borderId="9" xfId="1" applyFont="1" applyFill="1" applyBorder="1"/>
    <xf numFmtId="43" fontId="16" fillId="57" borderId="11" xfId="1" applyFont="1" applyFill="1" applyBorder="1"/>
    <xf numFmtId="43" fontId="17" fillId="61" borderId="30" xfId="1" applyFont="1" applyFill="1" applyBorder="1" applyAlignment="1">
      <alignment horizontal="centerContinuous"/>
    </xf>
    <xf numFmtId="43" fontId="16" fillId="61" borderId="30" xfId="1" applyFont="1" applyFill="1" applyBorder="1" applyAlignment="1">
      <alignment horizontal="centerContinuous"/>
    </xf>
    <xf numFmtId="43" fontId="17" fillId="61" borderId="31" xfId="1" applyFont="1" applyFill="1" applyBorder="1" applyAlignment="1">
      <alignment horizontal="centerContinuous"/>
    </xf>
    <xf numFmtId="43" fontId="17" fillId="61" borderId="30" xfId="1" applyFont="1" applyFill="1" applyBorder="1"/>
    <xf numFmtId="43" fontId="17" fillId="61" borderId="32" xfId="1" applyFont="1" applyFill="1" applyBorder="1"/>
    <xf numFmtId="43" fontId="17" fillId="61" borderId="0" xfId="1" applyFont="1" applyFill="1" applyBorder="1"/>
    <xf numFmtId="43" fontId="17" fillId="61" borderId="31" xfId="1" applyFont="1" applyFill="1" applyBorder="1"/>
    <xf numFmtId="43" fontId="16" fillId="61" borderId="33" xfId="1" applyFont="1" applyFill="1" applyBorder="1"/>
    <xf numFmtId="43" fontId="17" fillId="61" borderId="10" xfId="1" applyFont="1" applyFill="1" applyBorder="1"/>
    <xf numFmtId="43" fontId="17" fillId="61" borderId="33" xfId="1" applyFont="1" applyFill="1" applyBorder="1"/>
    <xf numFmtId="43" fontId="16" fillId="61" borderId="34" xfId="1" applyFont="1" applyFill="1" applyBorder="1"/>
    <xf numFmtId="43" fontId="16" fillId="61" borderId="30" xfId="1" applyFont="1" applyFill="1" applyBorder="1"/>
    <xf numFmtId="43" fontId="16" fillId="61" borderId="31" xfId="1" applyFont="1" applyFill="1" applyBorder="1" applyAlignment="1">
      <alignment horizontal="centerContinuous"/>
    </xf>
    <xf numFmtId="43" fontId="16" fillId="61" borderId="31" xfId="1" applyFont="1" applyFill="1" applyBorder="1"/>
    <xf numFmtId="43" fontId="17" fillId="61" borderId="30" xfId="1" applyFont="1" applyFill="1" applyBorder="1" applyAlignment="1">
      <alignment horizontal="right"/>
    </xf>
    <xf numFmtId="43" fontId="16" fillId="61" borderId="36" xfId="1" applyFont="1" applyFill="1" applyBorder="1"/>
    <xf numFmtId="43" fontId="16" fillId="61" borderId="30" xfId="1" applyFont="1" applyFill="1" applyBorder="1" applyAlignment="1">
      <alignment horizontal="center"/>
    </xf>
    <xf numFmtId="43" fontId="17" fillId="61" borderId="0" xfId="1" applyFont="1" applyFill="1"/>
    <xf numFmtId="0" fontId="17" fillId="55" borderId="0" xfId="236" applyFont="1" applyFill="1" applyAlignment="1"/>
    <xf numFmtId="0" fontId="17" fillId="55" borderId="0" xfId="236" applyFont="1" applyFill="1" applyAlignment="1">
      <alignment horizontal="center"/>
    </xf>
    <xf numFmtId="0" fontId="17" fillId="55" borderId="0" xfId="236" applyFont="1" applyFill="1" applyBorder="1" applyAlignment="1"/>
    <xf numFmtId="0" fontId="17" fillId="55" borderId="0" xfId="236" applyFont="1" applyFill="1"/>
    <xf numFmtId="0" fontId="17" fillId="55" borderId="0" xfId="236" quotePrefix="1" applyFont="1" applyFill="1" applyBorder="1" applyAlignment="1">
      <alignment horizontal="center"/>
    </xf>
    <xf numFmtId="0" fontId="17" fillId="55" borderId="0" xfId="236" applyFont="1" applyFill="1" applyBorder="1" applyAlignment="1">
      <alignment horizontal="center"/>
    </xf>
    <xf numFmtId="166" fontId="17" fillId="55" borderId="0" xfId="1" applyNumberFormat="1" applyFont="1" applyFill="1"/>
    <xf numFmtId="0" fontId="17" fillId="55" borderId="0" xfId="236" applyNumberFormat="1" applyFont="1" applyFill="1"/>
    <xf numFmtId="43" fontId="17" fillId="60" borderId="30" xfId="1" applyFont="1" applyFill="1" applyBorder="1"/>
    <xf numFmtId="0" fontId="16" fillId="62" borderId="0" xfId="210" applyFont="1" applyFill="1"/>
    <xf numFmtId="0" fontId="17" fillId="57" borderId="0" xfId="210" applyFont="1" applyFill="1"/>
    <xf numFmtId="0" fontId="17" fillId="0" borderId="0" xfId="210" applyFont="1"/>
    <xf numFmtId="0" fontId="16" fillId="57" borderId="0" xfId="210" applyFont="1" applyFill="1"/>
    <xf numFmtId="0" fontId="17" fillId="62" borderId="0" xfId="210" applyFont="1" applyFill="1"/>
    <xf numFmtId="184" fontId="17" fillId="62" borderId="0" xfId="210" applyNumberFormat="1" applyFont="1" applyFill="1" applyAlignment="1">
      <alignment horizontal="left"/>
    </xf>
    <xf numFmtId="0" fontId="16" fillId="62" borderId="37" xfId="210" applyFont="1" applyFill="1" applyBorder="1" applyAlignment="1">
      <alignment horizontal="center" vertical="center"/>
    </xf>
    <xf numFmtId="0" fontId="16" fillId="57" borderId="38" xfId="210" applyNumberFormat="1" applyFont="1" applyFill="1" applyBorder="1" applyAlignment="1">
      <alignment horizontal="center" vertical="center" wrapText="1"/>
    </xf>
    <xf numFmtId="0" fontId="17" fillId="0" borderId="0" xfId="210" applyFont="1" applyAlignment="1">
      <alignment vertical="center"/>
    </xf>
    <xf numFmtId="0" fontId="16" fillId="57" borderId="0" xfId="210" applyFont="1" applyFill="1" applyBorder="1" applyAlignment="1">
      <alignment horizontal="left" vertical="center"/>
    </xf>
    <xf numFmtId="0" fontId="16" fillId="62" borderId="0" xfId="210" applyFont="1" applyFill="1" applyBorder="1" applyAlignment="1">
      <alignment horizontal="center" vertical="center"/>
    </xf>
    <xf numFmtId="0" fontId="17" fillId="57" borderId="0" xfId="199" applyNumberFormat="1" applyFont="1" applyFill="1"/>
    <xf numFmtId="186" fontId="17" fillId="62" borderId="0" xfId="210" applyNumberFormat="1" applyFont="1" applyFill="1"/>
    <xf numFmtId="0" fontId="17" fillId="57" borderId="0" xfId="235" applyFont="1" applyFill="1" applyAlignment="1">
      <alignment horizontal="left" vertical="center"/>
    </xf>
    <xf numFmtId="0" fontId="17" fillId="57" borderId="0" xfId="235" applyFont="1" applyFill="1" applyAlignment="1">
      <alignment horizontal="center" vertical="center"/>
    </xf>
    <xf numFmtId="0" fontId="17" fillId="57" borderId="0" xfId="237" applyFont="1" applyFill="1" applyAlignment="1">
      <alignment horizontal="center"/>
    </xf>
    <xf numFmtId="0" fontId="17" fillId="57" borderId="0" xfId="199" applyNumberFormat="1" applyFont="1" applyFill="1" applyAlignment="1"/>
    <xf numFmtId="186" fontId="16" fillId="62" borderId="0" xfId="210" applyNumberFormat="1" applyFont="1" applyFill="1"/>
    <xf numFmtId="0" fontId="16" fillId="62" borderId="39" xfId="210" applyFont="1" applyFill="1" applyBorder="1"/>
    <xf numFmtId="165" fontId="16" fillId="57" borderId="39" xfId="199" applyFont="1" applyFill="1" applyBorder="1"/>
    <xf numFmtId="165" fontId="17" fillId="57" borderId="0" xfId="199" applyFont="1" applyFill="1"/>
    <xf numFmtId="0" fontId="17" fillId="57" borderId="0" xfId="199" applyNumberFormat="1" applyFont="1" applyFill="1"/>
    <xf numFmtId="181" fontId="16" fillId="57" borderId="0" xfId="199" applyNumberFormat="1" applyFont="1" applyFill="1" applyAlignment="1">
      <alignment horizontal="left"/>
    </xf>
    <xf numFmtId="0" fontId="16" fillId="57" borderId="0" xfId="199" applyNumberFormat="1" applyFont="1" applyFill="1" applyAlignment="1">
      <alignment horizontal="left"/>
    </xf>
    <xf numFmtId="0" fontId="17" fillId="0" borderId="0" xfId="228" applyFont="1"/>
    <xf numFmtId="0" fontId="16" fillId="57" borderId="0" xfId="228" applyFont="1" applyFill="1"/>
    <xf numFmtId="0" fontId="16" fillId="57" borderId="0" xfId="199" applyNumberFormat="1" applyFont="1" applyFill="1"/>
    <xf numFmtId="0" fontId="17" fillId="57" borderId="0" xfId="228" applyFont="1" applyFill="1"/>
    <xf numFmtId="184" fontId="17" fillId="57" borderId="0" xfId="228" applyNumberFormat="1" applyFont="1" applyFill="1" applyAlignment="1">
      <alignment horizontal="left"/>
    </xf>
    <xf numFmtId="0" fontId="16" fillId="57" borderId="40" xfId="228" applyFont="1" applyFill="1" applyBorder="1" applyAlignment="1">
      <alignment horizontal="center" vertical="center"/>
    </xf>
    <xf numFmtId="0" fontId="16" fillId="57" borderId="10" xfId="228" applyFont="1" applyFill="1" applyBorder="1" applyAlignment="1">
      <alignment horizontal="center" vertical="center"/>
    </xf>
    <xf numFmtId="0" fontId="16" fillId="57" borderId="10" xfId="199" applyNumberFormat="1" applyFont="1" applyFill="1" applyBorder="1" applyAlignment="1">
      <alignment horizontal="center" vertical="center"/>
    </xf>
    <xf numFmtId="0" fontId="17" fillId="0" borderId="0" xfId="228" applyFont="1" applyAlignment="1">
      <alignment vertical="center"/>
    </xf>
    <xf numFmtId="0" fontId="16" fillId="57" borderId="0" xfId="228" applyFont="1" applyFill="1" applyAlignment="1">
      <alignment wrapText="1"/>
    </xf>
    <xf numFmtId="0" fontId="65" fillId="57" borderId="0" xfId="228" applyFont="1" applyFill="1"/>
    <xf numFmtId="0" fontId="65" fillId="57" borderId="0" xfId="199" applyNumberFormat="1" applyFont="1" applyFill="1"/>
    <xf numFmtId="0" fontId="31" fillId="0" borderId="0" xfId="228"/>
    <xf numFmtId="0" fontId="17" fillId="57" borderId="0" xfId="228" applyFont="1" applyFill="1" applyAlignment="1">
      <alignment wrapText="1"/>
    </xf>
    <xf numFmtId="0" fontId="16" fillId="57" borderId="0" xfId="228" applyFont="1" applyFill="1" applyAlignment="1">
      <alignment horizontal="left" vertical="center" wrapText="1"/>
    </xf>
    <xf numFmtId="0" fontId="17" fillId="57" borderId="0" xfId="228" applyNumberFormat="1" applyFont="1" applyFill="1" applyAlignment="1">
      <alignment horizontal="left" vertical="center"/>
    </xf>
    <xf numFmtId="0" fontId="16" fillId="57" borderId="39" xfId="228" applyNumberFormat="1" applyFont="1" applyFill="1" applyBorder="1"/>
    <xf numFmtId="0" fontId="16" fillId="57" borderId="39" xfId="199" applyNumberFormat="1" applyFont="1" applyFill="1" applyBorder="1"/>
    <xf numFmtId="0" fontId="66" fillId="57" borderId="0" xfId="228" applyFont="1" applyFill="1"/>
    <xf numFmtId="0" fontId="66" fillId="57" borderId="0" xfId="199" applyNumberFormat="1" applyFont="1" applyFill="1"/>
    <xf numFmtId="0" fontId="17" fillId="0" borderId="0" xfId="228" applyFont="1" applyFill="1"/>
    <xf numFmtId="0" fontId="17" fillId="0" borderId="0" xfId="199" applyNumberFormat="1" applyFont="1" applyFill="1"/>
    <xf numFmtId="0" fontId="16" fillId="62" borderId="0" xfId="0" applyNumberFormat="1" applyFont="1" applyFill="1" applyAlignment="1">
      <alignment horizontal="left"/>
    </xf>
    <xf numFmtId="0" fontId="16" fillId="57" borderId="0" xfId="0" applyFont="1" applyFill="1" applyAlignment="1"/>
    <xf numFmtId="0" fontId="16" fillId="57" borderId="0" xfId="0" applyFont="1" applyFill="1"/>
    <xf numFmtId="0" fontId="17" fillId="57" borderId="0" xfId="0" applyFont="1" applyFill="1"/>
    <xf numFmtId="184" fontId="17" fillId="57" borderId="0" xfId="0" applyNumberFormat="1" applyFont="1" applyFill="1" applyAlignment="1">
      <alignment horizontal="left"/>
    </xf>
    <xf numFmtId="0" fontId="16" fillId="57" borderId="10" xfId="0" applyFont="1" applyFill="1" applyBorder="1" applyAlignment="1">
      <alignment horizontal="center" vertical="center"/>
    </xf>
    <xf numFmtId="0" fontId="16" fillId="57" borderId="10" xfId="0" applyNumberFormat="1" applyFont="1" applyFill="1" applyBorder="1" applyAlignment="1">
      <alignment horizontal="center" vertical="center"/>
    </xf>
    <xf numFmtId="0" fontId="17" fillId="57" borderId="0" xfId="0" applyFont="1" applyFill="1" applyAlignment="1">
      <alignment horizontal="center" vertical="center"/>
    </xf>
    <xf numFmtId="0" fontId="16" fillId="57" borderId="0" xfId="0" applyFont="1" applyFill="1" applyBorder="1" applyAlignment="1">
      <alignment horizontal="center"/>
    </xf>
    <xf numFmtId="0" fontId="67" fillId="57" borderId="0" xfId="296" applyFont="1" applyFill="1" applyBorder="1" applyAlignment="1">
      <alignment horizontal="left"/>
    </xf>
    <xf numFmtId="0" fontId="17" fillId="57" borderId="0" xfId="0" applyNumberFormat="1" applyFont="1" applyFill="1"/>
    <xf numFmtId="186" fontId="17" fillId="57" borderId="0" xfId="0" applyNumberFormat="1" applyFont="1" applyFill="1" applyBorder="1"/>
    <xf numFmtId="0" fontId="20" fillId="57" borderId="0" xfId="296" applyFont="1" applyFill="1" applyBorder="1" applyAlignment="1">
      <alignment horizontal="left"/>
    </xf>
    <xf numFmtId="0" fontId="20" fillId="57" borderId="0" xfId="296" applyFont="1" applyFill="1" applyBorder="1"/>
    <xf numFmtId="0" fontId="17" fillId="62" borderId="0" xfId="235" applyFont="1" applyFill="1" applyAlignment="1">
      <alignment horizontal="left" vertical="center"/>
    </xf>
    <xf numFmtId="186" fontId="17" fillId="57" borderId="0" xfId="0" applyNumberFormat="1" applyFont="1" applyFill="1"/>
    <xf numFmtId="0" fontId="17" fillId="57" borderId="0" xfId="0" applyFont="1" applyFill="1" applyAlignment="1">
      <alignment wrapText="1"/>
    </xf>
    <xf numFmtId="0" fontId="16" fillId="57" borderId="39" xfId="0" applyFont="1" applyFill="1" applyBorder="1"/>
    <xf numFmtId="0" fontId="16" fillId="57" borderId="0" xfId="0" applyFont="1" applyFill="1" applyBorder="1" applyAlignment="1">
      <alignment horizontal="justify" vertical="top" wrapText="1"/>
    </xf>
    <xf numFmtId="0" fontId="16" fillId="57" borderId="0" xfId="0" applyFont="1" applyFill="1" applyBorder="1" applyAlignment="1">
      <alignment horizontal="justify" vertical="top"/>
    </xf>
    <xf numFmtId="165" fontId="16" fillId="57" borderId="0" xfId="199" applyFont="1" applyFill="1" applyBorder="1" applyAlignment="1">
      <alignment horizontal="justify" vertical="top"/>
    </xf>
    <xf numFmtId="0" fontId="16" fillId="0" borderId="0" xfId="0" applyFont="1" applyFill="1" applyBorder="1" applyAlignment="1">
      <alignment horizontal="justify" vertical="top" wrapText="1"/>
    </xf>
    <xf numFmtId="0" fontId="17" fillId="57" borderId="0" xfId="0" applyFont="1" applyFill="1" applyAlignment="1"/>
    <xf numFmtId="43" fontId="17" fillId="0" borderId="0" xfId="1" applyFont="1" applyFill="1" applyAlignment="1"/>
    <xf numFmtId="43" fontId="17" fillId="64" borderId="30" xfId="1" applyFont="1" applyFill="1" applyBorder="1"/>
    <xf numFmtId="43" fontId="17" fillId="63" borderId="30" xfId="1" applyFont="1" applyFill="1" applyBorder="1"/>
    <xf numFmtId="0" fontId="16" fillId="0" borderId="0" xfId="223" applyFont="1" applyFill="1" applyBorder="1" applyAlignment="1">
      <alignment horizontal="center"/>
    </xf>
    <xf numFmtId="43" fontId="16" fillId="0" borderId="0" xfId="198" applyNumberFormat="1" applyFont="1" applyFill="1" applyBorder="1" applyAlignment="1">
      <alignment horizontal="left"/>
    </xf>
    <xf numFmtId="166" fontId="16" fillId="0" borderId="0" xfId="198" applyNumberFormat="1" applyFont="1" applyFill="1" applyBorder="1" applyAlignment="1">
      <alignment horizontal="left"/>
    </xf>
    <xf numFmtId="0" fontId="17" fillId="0" borderId="0" xfId="215" applyFont="1" applyFill="1" applyBorder="1"/>
    <xf numFmtId="0" fontId="16" fillId="0" borderId="0" xfId="215" applyFont="1" applyFill="1" applyBorder="1" applyAlignment="1">
      <alignment horizontal="center"/>
    </xf>
    <xf numFmtId="0" fontId="17" fillId="32" borderId="0" xfId="215" applyNumberFormat="1" applyFont="1" applyFill="1" applyBorder="1"/>
    <xf numFmtId="0" fontId="17" fillId="32" borderId="0" xfId="215" applyFont="1" applyFill="1" applyBorder="1"/>
    <xf numFmtId="165" fontId="17" fillId="0" borderId="0" xfId="198" applyFont="1" applyFill="1" applyBorder="1"/>
    <xf numFmtId="0" fontId="16" fillId="0" borderId="0" xfId="223" applyNumberFormat="1" applyFont="1" applyFill="1" applyBorder="1" applyAlignment="1">
      <alignment horizontal="center"/>
    </xf>
    <xf numFmtId="43" fontId="68" fillId="56" borderId="30" xfId="1" applyFont="1" applyFill="1" applyBorder="1" applyAlignment="1">
      <alignment horizontal="centerContinuous"/>
    </xf>
    <xf numFmtId="43" fontId="68" fillId="56" borderId="31" xfId="1" applyFont="1" applyFill="1" applyBorder="1" applyAlignment="1">
      <alignment horizontal="centerContinuous"/>
    </xf>
    <xf numFmtId="43" fontId="0" fillId="0" borderId="0" xfId="0" applyNumberFormat="1"/>
    <xf numFmtId="43" fontId="16" fillId="0" borderId="0" xfId="1" applyFont="1" applyFill="1" applyBorder="1" applyAlignment="1">
      <alignment horizontal="center"/>
    </xf>
    <xf numFmtId="43" fontId="16" fillId="0" borderId="0" xfId="1" applyFont="1" applyFill="1" applyAlignment="1">
      <alignment horizontal="center"/>
    </xf>
    <xf numFmtId="43" fontId="16" fillId="0" borderId="29" xfId="1" applyFont="1" applyFill="1" applyBorder="1" applyAlignment="1">
      <alignment horizontal="center" vertical="center" wrapText="1"/>
    </xf>
    <xf numFmtId="43" fontId="59" fillId="0" borderId="0" xfId="1" applyFont="1" applyFill="1" applyAlignment="1">
      <alignment horizontal="center"/>
    </xf>
    <xf numFmtId="43" fontId="17" fillId="0" borderId="0" xfId="1" applyFont="1" applyFill="1" applyBorder="1" applyAlignment="1">
      <alignment horizontal="center"/>
    </xf>
    <xf numFmtId="43" fontId="17" fillId="0" borderId="16" xfId="1" applyFont="1" applyFill="1" applyBorder="1" applyAlignment="1">
      <alignment horizontal="center"/>
    </xf>
    <xf numFmtId="43" fontId="17" fillId="0" borderId="0" xfId="1" applyFont="1" applyFill="1" applyAlignment="1">
      <alignment horizontal="center"/>
    </xf>
    <xf numFmtId="43" fontId="58" fillId="0" borderId="0" xfId="1" applyFont="1" applyFill="1" applyAlignment="1">
      <alignment horizontal="center"/>
    </xf>
    <xf numFmtId="181" fontId="16" fillId="0" borderId="0" xfId="234" applyNumberFormat="1" applyFont="1" applyFill="1" applyBorder="1" applyAlignment="1">
      <alignment horizontal="center" vertical="center" wrapText="1"/>
    </xf>
    <xf numFmtId="0" fontId="17" fillId="0" borderId="0" xfId="236" applyFont="1" applyFill="1" applyBorder="1"/>
    <xf numFmtId="166" fontId="58" fillId="0" borderId="0" xfId="1" applyNumberFormat="1" applyFont="1" applyFill="1" applyBorder="1"/>
    <xf numFmtId="181" fontId="17" fillId="0" borderId="0" xfId="234" applyNumberFormat="1" applyFont="1" applyFill="1" applyBorder="1"/>
    <xf numFmtId="43" fontId="17" fillId="0" borderId="0" xfId="223" applyNumberFormat="1" applyFont="1" applyFill="1" applyBorder="1"/>
    <xf numFmtId="0" fontId="17" fillId="0" borderId="9" xfId="223" applyFont="1" applyFill="1" applyBorder="1"/>
    <xf numFmtId="43" fontId="17" fillId="0" borderId="9" xfId="1" applyFont="1" applyFill="1" applyBorder="1" applyAlignment="1">
      <alignment horizontal="center"/>
    </xf>
    <xf numFmtId="43" fontId="17" fillId="0" borderId="0" xfId="1" quotePrefix="1" applyNumberFormat="1" applyFont="1" applyFill="1" applyBorder="1" applyAlignment="1">
      <alignment horizontal="left"/>
    </xf>
    <xf numFmtId="43" fontId="17" fillId="0" borderId="0" xfId="236" quotePrefix="1" applyNumberFormat="1" applyFont="1" applyFill="1" applyBorder="1" applyAlignment="1">
      <alignment horizontal="left"/>
    </xf>
    <xf numFmtId="43" fontId="17" fillId="0" borderId="0" xfId="215" applyNumberFormat="1" applyFont="1" applyFill="1" applyAlignment="1">
      <alignment horizontal="left"/>
    </xf>
    <xf numFmtId="43" fontId="17" fillId="0" borderId="0" xfId="215" applyNumberFormat="1" applyFont="1" applyFill="1" applyAlignment="1">
      <alignment horizontal="right"/>
    </xf>
    <xf numFmtId="43" fontId="17" fillId="0" borderId="0" xfId="198" applyNumberFormat="1" applyFont="1" applyFill="1" applyAlignment="1">
      <alignment horizontal="left"/>
    </xf>
    <xf numFmtId="43" fontId="17" fillId="0" borderId="0" xfId="215" applyNumberFormat="1" applyFont="1" applyFill="1" applyAlignment="1"/>
    <xf numFmtId="43" fontId="17" fillId="0" borderId="0" xfId="1" applyNumberFormat="1" applyFont="1" applyFill="1" applyAlignment="1">
      <alignment horizontal="right"/>
    </xf>
    <xf numFmtId="43" fontId="17" fillId="0" borderId="0" xfId="1" applyNumberFormat="1" applyFont="1" applyFill="1" applyAlignment="1">
      <alignment horizontal="left"/>
    </xf>
    <xf numFmtId="43" fontId="17" fillId="0" borderId="0" xfId="1" applyNumberFormat="1" applyFont="1" applyFill="1" applyAlignment="1"/>
    <xf numFmtId="0" fontId="35" fillId="0" borderId="0" xfId="236" applyFont="1" applyFill="1"/>
    <xf numFmtId="166" fontId="35" fillId="0" borderId="0" xfId="1" applyNumberFormat="1" applyFont="1" applyFill="1"/>
    <xf numFmtId="166" fontId="35" fillId="0" borderId="0" xfId="1" applyNumberFormat="1" applyFont="1" applyFill="1" applyBorder="1"/>
    <xf numFmtId="166" fontId="58" fillId="0" borderId="0" xfId="1" applyNumberFormat="1" applyFont="1" applyFill="1" applyAlignment="1"/>
    <xf numFmtId="166" fontId="58" fillId="0" borderId="0" xfId="1" applyNumberFormat="1" applyFont="1" applyFill="1" applyBorder="1" applyAlignment="1"/>
    <xf numFmtId="166" fontId="58" fillId="0" borderId="0" xfId="1" applyNumberFormat="1" applyFont="1" applyFill="1" applyAlignment="1">
      <alignment horizontal="left"/>
    </xf>
    <xf numFmtId="166" fontId="58" fillId="0" borderId="0" xfId="236" applyNumberFormat="1" applyFont="1" applyFill="1"/>
    <xf numFmtId="0" fontId="68" fillId="0" borderId="0" xfId="299" applyFont="1"/>
    <xf numFmtId="0" fontId="15" fillId="0" borderId="0" xfId="299" applyFont="1"/>
    <xf numFmtId="0" fontId="27" fillId="0" borderId="0" xfId="299" applyFont="1"/>
    <xf numFmtId="0" fontId="15" fillId="0" borderId="0" xfId="299" applyFont="1" applyBorder="1" applyAlignment="1">
      <alignment vertical="center"/>
    </xf>
    <xf numFmtId="0" fontId="15" fillId="0" borderId="0" xfId="299" applyFont="1" applyBorder="1"/>
    <xf numFmtId="0" fontId="27" fillId="0" borderId="0" xfId="299" applyFont="1" applyBorder="1"/>
    <xf numFmtId="0" fontId="27" fillId="0" borderId="9" xfId="299" applyFont="1" applyBorder="1"/>
    <xf numFmtId="0" fontId="15" fillId="0" borderId="9" xfId="299" applyFont="1" applyBorder="1"/>
    <xf numFmtId="0" fontId="69" fillId="0" borderId="0" xfId="299" applyFont="1"/>
    <xf numFmtId="0" fontId="70" fillId="0" borderId="9" xfId="299" applyFont="1" applyFill="1" applyBorder="1" applyAlignment="1">
      <alignment horizontal="center" wrapText="1"/>
    </xf>
    <xf numFmtId="0" fontId="70" fillId="0" borderId="9" xfId="299" applyFont="1" applyBorder="1" applyAlignment="1">
      <alignment horizontal="center" wrapText="1"/>
    </xf>
    <xf numFmtId="0" fontId="69" fillId="0" borderId="9" xfId="299" applyNumberFormat="1" applyFont="1" applyFill="1" applyBorder="1"/>
    <xf numFmtId="0" fontId="69" fillId="0" borderId="9" xfId="299" applyNumberFormat="1" applyFont="1" applyBorder="1"/>
    <xf numFmtId="0" fontId="70" fillId="0" borderId="0" xfId="299" applyFont="1"/>
    <xf numFmtId="0" fontId="69" fillId="0" borderId="0" xfId="299" applyFont="1" applyAlignment="1">
      <alignment horizontal="left" indent="1"/>
    </xf>
    <xf numFmtId="166" fontId="69" fillId="0" borderId="0" xfId="300" applyNumberFormat="1" applyFont="1"/>
    <xf numFmtId="166" fontId="69" fillId="0" borderId="0" xfId="301" applyNumberFormat="1" applyFont="1" applyAlignment="1">
      <alignment horizontal="left" indent="1"/>
    </xf>
    <xf numFmtId="166" fontId="69" fillId="0" borderId="0" xfId="299" applyNumberFormat="1" applyFont="1" applyAlignment="1">
      <alignment horizontal="left" indent="1"/>
    </xf>
    <xf numFmtId="166" fontId="69" fillId="0" borderId="0" xfId="302" applyNumberFormat="1" applyFont="1" applyFill="1"/>
    <xf numFmtId="169" fontId="69" fillId="0" borderId="0" xfId="301" applyNumberFormat="1" applyFont="1"/>
    <xf numFmtId="173" fontId="69" fillId="0" borderId="0" xfId="301" applyFont="1"/>
    <xf numFmtId="43" fontId="69" fillId="0" borderId="0" xfId="299" applyNumberFormat="1" applyFont="1"/>
    <xf numFmtId="169" fontId="69" fillId="0" borderId="0" xfId="301" applyNumberFormat="1" applyFont="1" applyAlignment="1">
      <alignment horizontal="left" indent="1"/>
    </xf>
    <xf numFmtId="173" fontId="69" fillId="0" borderId="0" xfId="301" applyFont="1" applyAlignment="1">
      <alignment horizontal="left" indent="1"/>
    </xf>
    <xf numFmtId="41" fontId="69" fillId="0" borderId="0" xfId="302" applyFont="1" applyFill="1"/>
    <xf numFmtId="0" fontId="69" fillId="66" borderId="0" xfId="299" applyFont="1" applyFill="1" applyAlignment="1">
      <alignment horizontal="left" indent="1"/>
    </xf>
    <xf numFmtId="41" fontId="69" fillId="66" borderId="0" xfId="302" applyFont="1" applyFill="1"/>
    <xf numFmtId="41" fontId="69" fillId="0" borderId="0" xfId="302" applyFont="1"/>
    <xf numFmtId="169" fontId="69" fillId="0" borderId="9" xfId="301" applyNumberFormat="1" applyFont="1" applyBorder="1" applyAlignment="1">
      <alignment horizontal="left" indent="1"/>
    </xf>
    <xf numFmtId="41" fontId="69" fillId="0" borderId="9" xfId="302" applyFont="1" applyBorder="1"/>
    <xf numFmtId="169" fontId="69" fillId="0" borderId="9" xfId="301" applyNumberFormat="1" applyFont="1" applyBorder="1"/>
    <xf numFmtId="173" fontId="69" fillId="0" borderId="0" xfId="301" applyFont="1" applyBorder="1"/>
    <xf numFmtId="41" fontId="69" fillId="0" borderId="0" xfId="302" applyFont="1" applyFill="1" applyBorder="1"/>
    <xf numFmtId="41" fontId="69" fillId="0" borderId="0" xfId="302" applyFont="1" applyBorder="1"/>
    <xf numFmtId="0" fontId="70" fillId="0" borderId="0" xfId="299" applyFont="1" applyAlignment="1">
      <alignment horizontal="left" indent="3"/>
    </xf>
    <xf numFmtId="41" fontId="71" fillId="0" borderId="0" xfId="302" applyFont="1" applyBorder="1"/>
    <xf numFmtId="164" fontId="69" fillId="0" borderId="0" xfId="299" applyNumberFormat="1" applyFont="1" applyFill="1" applyAlignment="1"/>
    <xf numFmtId="173" fontId="70" fillId="0" borderId="0" xfId="301" applyFont="1"/>
    <xf numFmtId="41" fontId="71" fillId="0" borderId="0" xfId="302" applyFont="1"/>
    <xf numFmtId="0" fontId="69" fillId="0" borderId="0" xfId="299" applyFont="1" applyAlignment="1">
      <alignment horizontal="left" indent="3"/>
    </xf>
    <xf numFmtId="169" fontId="69" fillId="0" borderId="0" xfId="303" applyNumberFormat="1" applyFont="1"/>
    <xf numFmtId="41" fontId="69" fillId="0" borderId="9" xfId="302" applyFont="1" applyFill="1" applyBorder="1"/>
    <xf numFmtId="41" fontId="71" fillId="0" borderId="0" xfId="302" applyFont="1" applyFill="1"/>
    <xf numFmtId="41" fontId="69" fillId="0" borderId="10" xfId="302" applyFont="1" applyBorder="1"/>
    <xf numFmtId="173" fontId="69" fillId="0" borderId="0" xfId="301" applyFont="1" applyAlignment="1">
      <alignment horizontal="left" indent="3"/>
    </xf>
    <xf numFmtId="169" fontId="69" fillId="0" borderId="0" xfId="299" applyNumberFormat="1" applyFont="1"/>
    <xf numFmtId="166" fontId="70" fillId="0" borderId="0" xfId="300" applyNumberFormat="1" applyFont="1" applyBorder="1"/>
    <xf numFmtId="166" fontId="70" fillId="0" borderId="0" xfId="299" applyNumberFormat="1" applyFont="1" applyBorder="1"/>
    <xf numFmtId="188" fontId="70" fillId="0" borderId="41" xfId="300" applyNumberFormat="1" applyFont="1" applyBorder="1"/>
    <xf numFmtId="166" fontId="70" fillId="0" borderId="0" xfId="299" applyNumberFormat="1" applyFont="1"/>
    <xf numFmtId="41" fontId="70" fillId="0" borderId="41" xfId="300" applyNumberFormat="1" applyFont="1" applyBorder="1"/>
    <xf numFmtId="41" fontId="70" fillId="0" borderId="0" xfId="299" applyNumberFormat="1" applyFont="1"/>
    <xf numFmtId="166" fontId="69" fillId="0" borderId="0" xfId="299" applyNumberFormat="1" applyFont="1"/>
    <xf numFmtId="166" fontId="70" fillId="0" borderId="41" xfId="300" applyNumberFormat="1" applyFont="1" applyBorder="1"/>
    <xf numFmtId="173" fontId="27" fillId="0" borderId="0" xfId="301" applyFont="1"/>
    <xf numFmtId="189" fontId="27" fillId="0" borderId="0" xfId="299" applyNumberFormat="1" applyFont="1"/>
    <xf numFmtId="41" fontId="27" fillId="0" borderId="0" xfId="299" applyNumberFormat="1" applyFont="1"/>
    <xf numFmtId="41" fontId="27" fillId="0" borderId="0" xfId="302" applyFont="1"/>
    <xf numFmtId="41" fontId="69" fillId="67" borderId="0" xfId="302" applyFont="1" applyFill="1"/>
    <xf numFmtId="41" fontId="69" fillId="65" borderId="0" xfId="302" applyFont="1" applyFill="1"/>
    <xf numFmtId="0" fontId="17" fillId="68" borderId="0" xfId="236" applyFont="1" applyFill="1" applyBorder="1" applyAlignment="1"/>
    <xf numFmtId="0" fontId="17" fillId="68" borderId="0" xfId="236" applyFont="1" applyFill="1"/>
    <xf numFmtId="0" fontId="17" fillId="68" borderId="0" xfId="236" applyNumberFormat="1" applyFont="1" applyFill="1" applyBorder="1"/>
    <xf numFmtId="0" fontId="17" fillId="68" borderId="0" xfId="236" quotePrefix="1" applyFont="1" applyFill="1" applyAlignment="1">
      <alignment horizontal="left"/>
    </xf>
    <xf numFmtId="0" fontId="17" fillId="68" borderId="0" xfId="236" quotePrefix="1" applyFont="1" applyFill="1" applyBorder="1" applyAlignment="1">
      <alignment horizontal="left"/>
    </xf>
    <xf numFmtId="0" fontId="17" fillId="68" borderId="0" xfId="236" applyFont="1" applyFill="1" applyBorder="1"/>
    <xf numFmtId="43" fontId="17" fillId="0" borderId="0" xfId="1" applyFont="1"/>
    <xf numFmtId="43" fontId="17" fillId="62" borderId="0" xfId="1" applyFont="1" applyFill="1" applyAlignment="1">
      <alignment horizontal="left" vertical="center"/>
    </xf>
    <xf numFmtId="43" fontId="17" fillId="57" borderId="0" xfId="1" applyFont="1" applyFill="1" applyAlignment="1">
      <alignment horizontal="left" vertical="center"/>
    </xf>
    <xf numFmtId="43" fontId="17" fillId="55" borderId="0" xfId="1" applyFont="1" applyFill="1"/>
    <xf numFmtId="166" fontId="17" fillId="55" borderId="10" xfId="1" applyNumberFormat="1" applyFont="1" applyFill="1" applyBorder="1"/>
    <xf numFmtId="166" fontId="17" fillId="55" borderId="16" xfId="1" applyNumberFormat="1" applyFont="1" applyFill="1" applyBorder="1"/>
    <xf numFmtId="43" fontId="58" fillId="32" borderId="0" xfId="1" applyFont="1" applyFill="1"/>
    <xf numFmtId="166" fontId="17" fillId="55" borderId="0" xfId="1" applyNumberFormat="1" applyFont="1" applyFill="1" applyBorder="1"/>
    <xf numFmtId="0" fontId="17" fillId="32" borderId="0" xfId="199" applyNumberFormat="1" applyFont="1" applyFill="1" applyAlignment="1">
      <alignment horizontal="right"/>
    </xf>
    <xf numFmtId="0" fontId="17" fillId="0" borderId="0" xfId="234" applyNumberFormat="1" applyFont="1" applyFill="1" applyAlignment="1">
      <alignment horizontal="left"/>
    </xf>
    <xf numFmtId="0" fontId="17" fillId="32" borderId="0" xfId="236" applyFont="1" applyFill="1" applyAlignment="1">
      <alignment horizontal="center"/>
    </xf>
    <xf numFmtId="0" fontId="78" fillId="0" borderId="0" xfId="0" applyNumberFormat="1" applyFont="1" applyAlignment="1">
      <alignment horizontal="centerContinuous"/>
    </xf>
    <xf numFmtId="0" fontId="79" fillId="0" borderId="0" xfId="0" applyNumberFormat="1" applyFont="1" applyAlignment="1">
      <alignment horizontal="centerContinuous"/>
    </xf>
    <xf numFmtId="0" fontId="80" fillId="0" borderId="0" xfId="0" applyNumberFormat="1" applyFont="1" applyAlignment="1">
      <alignment horizontal="right"/>
    </xf>
    <xf numFmtId="0" fontId="81" fillId="0" borderId="0" xfId="0" applyNumberFormat="1" applyFont="1" applyAlignment="1">
      <alignment horizontal="centerContinuous"/>
    </xf>
    <xf numFmtId="0" fontId="80" fillId="0" borderId="0" xfId="0" applyNumberFormat="1" applyFont="1" applyAlignment="1">
      <alignment horizontal="right"/>
    </xf>
    <xf numFmtId="0" fontId="82" fillId="0" borderId="0" xfId="0" applyNumberFormat="1" applyFont="1" applyAlignment="1">
      <alignment horizontal="centerContinuous"/>
    </xf>
    <xf numFmtId="0" fontId="79" fillId="0" borderId="0" xfId="0" applyNumberFormat="1" applyFont="1" applyAlignment="1">
      <alignment horizontal="center"/>
    </xf>
    <xf numFmtId="0" fontId="79" fillId="0" borderId="4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0" xfId="0" applyNumberFormat="1" applyFont="1"/>
    <xf numFmtId="0" fontId="83" fillId="0" borderId="0" xfId="0" applyNumberFormat="1" applyFont="1"/>
    <xf numFmtId="0" fontId="83" fillId="0" borderId="11" xfId="0" applyNumberFormat="1" applyFont="1" applyBorder="1"/>
    <xf numFmtId="0" fontId="83" fillId="0" borderId="35" xfId="0" applyNumberFormat="1" applyFont="1" applyBorder="1"/>
    <xf numFmtId="0" fontId="83" fillId="0" borderId="45" xfId="0" applyNumberFormat="1" applyFont="1" applyBorder="1"/>
    <xf numFmtId="0" fontId="0" fillId="0" borderId="0" xfId="0" applyNumberFormat="1"/>
    <xf numFmtId="0" fontId="79" fillId="0" borderId="46" xfId="0" applyNumberFormat="1" applyFont="1" applyBorder="1"/>
    <xf numFmtId="0" fontId="79" fillId="0" borderId="0" xfId="0" applyFont="1"/>
    <xf numFmtId="0" fontId="79" fillId="0" borderId="0" xfId="0" applyNumberFormat="1" applyFont="1"/>
    <xf numFmtId="0" fontId="0" fillId="0" borderId="0" xfId="0" applyNumberFormat="1"/>
    <xf numFmtId="43" fontId="0" fillId="0" borderId="0" xfId="1" applyFont="1"/>
    <xf numFmtId="0" fontId="83" fillId="70" borderId="0" xfId="0" applyNumberFormat="1" applyFont="1" applyFill="1"/>
    <xf numFmtId="0" fontId="83" fillId="70" borderId="11" xfId="0" applyNumberFormat="1" applyFont="1" applyFill="1" applyBorder="1"/>
    <xf numFmtId="0" fontId="83" fillId="70" borderId="0" xfId="0" applyNumberFormat="1" applyFont="1" applyFill="1" applyBorder="1"/>
    <xf numFmtId="0" fontId="16" fillId="0" borderId="0" xfId="223" applyFont="1" applyFill="1" applyBorder="1" applyAlignment="1">
      <alignment horizontal="center"/>
    </xf>
    <xf numFmtId="0" fontId="17" fillId="0" borderId="0" xfId="223" applyNumberFormat="1" applyFont="1" applyFill="1"/>
    <xf numFmtId="0" fontId="83" fillId="55" borderId="0" xfId="0" applyNumberFormat="1" applyFont="1" applyFill="1"/>
    <xf numFmtId="0" fontId="83" fillId="55" borderId="11" xfId="0" applyNumberFormat="1" applyFont="1" applyFill="1" applyBorder="1"/>
    <xf numFmtId="0" fontId="17" fillId="32" borderId="0" xfId="236" applyNumberFormat="1" applyFont="1" applyFill="1" applyBorder="1"/>
    <xf numFmtId="0" fontId="15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/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/>
    <xf numFmtId="0" fontId="17" fillId="0" borderId="9" xfId="0" applyFont="1" applyFill="1" applyBorder="1" applyAlignment="1"/>
    <xf numFmtId="0" fontId="16" fillId="0" borderId="9" xfId="0" applyFont="1" applyFill="1" applyBorder="1"/>
    <xf numFmtId="0" fontId="16" fillId="0" borderId="9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6" fillId="0" borderId="0" xfId="0" applyFont="1" applyFill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 wrapText="1"/>
    </xf>
    <xf numFmtId="0" fontId="55" fillId="0" borderId="0" xfId="0" applyFont="1" applyFill="1" applyBorder="1" applyAlignment="1">
      <alignment horizontal="center"/>
    </xf>
    <xf numFmtId="4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/>
    <xf numFmtId="0" fontId="17" fillId="0" borderId="0" xfId="0" applyNumberFormat="1" applyFont="1" applyFill="1" applyBorder="1"/>
    <xf numFmtId="0" fontId="17" fillId="0" borderId="0" xfId="0" applyNumberFormat="1" applyFont="1" applyFill="1"/>
    <xf numFmtId="166" fontId="17" fillId="0" borderId="0" xfId="0" applyNumberFormat="1" applyFont="1" applyFill="1"/>
    <xf numFmtId="0" fontId="17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41" fontId="17" fillId="0" borderId="9" xfId="0" applyNumberFormat="1" applyFont="1" applyFill="1" applyBorder="1" applyAlignment="1">
      <alignment horizontal="right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41" fontId="17" fillId="0" borderId="0" xfId="0" applyNumberFormat="1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15" fillId="0" borderId="0" xfId="223" applyFont="1" applyFill="1" applyAlignment="1">
      <alignment horizontal="left"/>
    </xf>
    <xf numFmtId="0" fontId="27" fillId="0" borderId="0" xfId="223" applyFont="1" applyFill="1"/>
    <xf numFmtId="0" fontId="27" fillId="0" borderId="0" xfId="223" applyFont="1" applyFill="1" applyAlignment="1">
      <alignment horizontal="center"/>
    </xf>
    <xf numFmtId="166" fontId="15" fillId="0" borderId="0" xfId="1" applyNumberFormat="1" applyFont="1" applyFill="1" applyAlignment="1">
      <alignment horizontal="left"/>
    </xf>
    <xf numFmtId="0" fontId="15" fillId="0" borderId="0" xfId="236" applyFont="1" applyFill="1" applyBorder="1" applyAlignment="1">
      <alignment horizontal="left"/>
    </xf>
    <xf numFmtId="0" fontId="15" fillId="0" borderId="0" xfId="236" applyFont="1" applyFill="1" applyAlignment="1">
      <alignment horizontal="left"/>
    </xf>
    <xf numFmtId="0" fontId="27" fillId="0" borderId="0" xfId="236" applyFont="1" applyFill="1" applyAlignment="1"/>
    <xf numFmtId="166" fontId="27" fillId="0" borderId="0" xfId="1" applyNumberFormat="1" applyFont="1" applyFill="1" applyAlignment="1"/>
    <xf numFmtId="166" fontId="27" fillId="0" borderId="0" xfId="1" applyNumberFormat="1" applyFont="1" applyFill="1" applyBorder="1" applyAlignment="1"/>
    <xf numFmtId="43" fontId="27" fillId="0" borderId="0" xfId="1" applyFont="1" applyFill="1" applyAlignment="1"/>
    <xf numFmtId="166" fontId="16" fillId="0" borderId="0" xfId="1" applyNumberFormat="1" applyFont="1" applyFill="1" applyAlignment="1">
      <alignment horizontal="left"/>
    </xf>
    <xf numFmtId="0" fontId="16" fillId="0" borderId="0" xfId="223" applyFont="1" applyFill="1" applyBorder="1" applyAlignment="1">
      <alignment horizontal="left"/>
    </xf>
    <xf numFmtId="0" fontId="17" fillId="0" borderId="0" xfId="223" applyFont="1" applyFill="1" applyBorder="1" applyAlignment="1">
      <alignment horizontal="center"/>
    </xf>
    <xf numFmtId="43" fontId="16" fillId="0" borderId="0" xfId="1" applyFont="1" applyFill="1"/>
    <xf numFmtId="0" fontId="16" fillId="0" borderId="9" xfId="223" applyFont="1" applyFill="1" applyBorder="1" applyAlignment="1"/>
    <xf numFmtId="166" fontId="16" fillId="0" borderId="9" xfId="1" applyNumberFormat="1" applyFont="1" applyFill="1" applyBorder="1"/>
    <xf numFmtId="43" fontId="16" fillId="0" borderId="0" xfId="1" applyFont="1" applyFill="1" applyBorder="1"/>
    <xf numFmtId="0" fontId="17" fillId="0" borderId="0" xfId="223" applyFont="1" applyFill="1" applyBorder="1" applyAlignment="1"/>
    <xf numFmtId="0" fontId="16" fillId="0" borderId="0" xfId="223" applyFont="1" applyFill="1" applyBorder="1" applyAlignment="1"/>
    <xf numFmtId="0" fontId="18" fillId="0" borderId="0" xfId="236" applyFont="1" applyFill="1" applyAlignment="1">
      <alignment horizontal="center"/>
    </xf>
    <xf numFmtId="166" fontId="16" fillId="0" borderId="0" xfId="1" applyNumberFormat="1" applyFont="1" applyFill="1" applyAlignment="1">
      <alignment horizontal="center"/>
    </xf>
    <xf numFmtId="0" fontId="16" fillId="0" borderId="0" xfId="223" applyFont="1" applyFill="1" applyAlignment="1">
      <alignment horizontal="center"/>
    </xf>
    <xf numFmtId="0" fontId="16" fillId="0" borderId="0" xfId="236" applyFont="1" applyFill="1" applyAlignment="1"/>
    <xf numFmtId="166" fontId="18" fillId="0" borderId="0" xfId="1" applyNumberFormat="1" applyFont="1" applyFill="1" applyAlignment="1">
      <alignment horizontal="center" wrapText="1"/>
    </xf>
    <xf numFmtId="0" fontId="18" fillId="0" borderId="0" xfId="223" applyFont="1" applyFill="1" applyAlignment="1">
      <alignment horizontal="center" wrapText="1"/>
    </xf>
    <xf numFmtId="0" fontId="17" fillId="0" borderId="0" xfId="236" applyFont="1" applyFill="1" applyAlignment="1">
      <alignment horizontal="center"/>
    </xf>
    <xf numFmtId="177" fontId="17" fillId="0" borderId="0" xfId="236" applyNumberFormat="1" applyFont="1" applyFill="1" applyAlignment="1">
      <alignment horizontal="right"/>
    </xf>
    <xf numFmtId="0" fontId="20" fillId="0" borderId="0" xfId="236" applyNumberFormat="1" applyFont="1" applyFill="1" applyBorder="1" applyAlignment="1">
      <alignment horizontal="right"/>
    </xf>
    <xf numFmtId="177" fontId="17" fillId="0" borderId="9" xfId="236" applyNumberFormat="1" applyFont="1" applyFill="1" applyBorder="1" applyAlignment="1">
      <alignment horizontal="right"/>
    </xf>
    <xf numFmtId="177" fontId="20" fillId="0" borderId="9" xfId="236" applyNumberFormat="1" applyFont="1" applyFill="1" applyBorder="1" applyAlignment="1">
      <alignment horizontal="right"/>
    </xf>
    <xf numFmtId="177" fontId="20" fillId="0" borderId="0" xfId="236" applyNumberFormat="1" applyFont="1" applyFill="1" applyAlignment="1">
      <alignment horizontal="right"/>
    </xf>
    <xf numFmtId="0" fontId="17" fillId="0" borderId="0" xfId="236" quotePrefix="1" applyFont="1" applyFill="1" applyAlignment="1">
      <alignment horizontal="left"/>
    </xf>
    <xf numFmtId="177" fontId="17" fillId="0" borderId="0" xfId="236" applyNumberFormat="1" applyFont="1" applyFill="1" applyBorder="1" applyAlignment="1">
      <alignment horizontal="right"/>
    </xf>
    <xf numFmtId="177" fontId="20" fillId="0" borderId="0" xfId="236" applyNumberFormat="1" applyFont="1" applyFill="1" applyBorder="1" applyAlignment="1">
      <alignment horizontal="right"/>
    </xf>
    <xf numFmtId="177" fontId="17" fillId="0" borderId="9" xfId="236" applyNumberFormat="1" applyFont="1" applyFill="1" applyBorder="1" applyAlignment="1">
      <alignment horizontal="right" shrinkToFit="1"/>
    </xf>
    <xf numFmtId="177" fontId="17" fillId="0" borderId="0" xfId="236" applyNumberFormat="1" applyFont="1" applyFill="1" applyBorder="1" applyAlignment="1">
      <alignment horizontal="right" shrinkToFit="1"/>
    </xf>
    <xf numFmtId="0" fontId="17" fillId="0" borderId="0" xfId="236" applyNumberFormat="1" applyFont="1" applyFill="1" applyBorder="1" applyAlignment="1">
      <alignment horizontal="right"/>
    </xf>
    <xf numFmtId="166" fontId="17" fillId="0" borderId="9" xfId="1" applyNumberFormat="1" applyFont="1" applyFill="1" applyBorder="1" applyAlignment="1"/>
    <xf numFmtId="177" fontId="17" fillId="0" borderId="0" xfId="236" applyNumberFormat="1" applyFont="1" applyFill="1" applyBorder="1" applyAlignment="1"/>
    <xf numFmtId="0" fontId="16" fillId="0" borderId="0" xfId="223" applyFont="1" applyFill="1" applyAlignment="1">
      <alignment horizontal="left"/>
    </xf>
    <xf numFmtId="166" fontId="17" fillId="0" borderId="11" xfId="1" applyNumberFormat="1" applyFont="1" applyFill="1" applyBorder="1" applyAlignment="1">
      <alignment horizontal="right"/>
    </xf>
    <xf numFmtId="178" fontId="17" fillId="0" borderId="0" xfId="236" applyNumberFormat="1" applyFont="1" applyFill="1" applyBorder="1" applyAlignment="1">
      <alignment horizontal="right"/>
    </xf>
    <xf numFmtId="0" fontId="17" fillId="0" borderId="0" xfId="236" applyFont="1" applyFill="1" applyAlignment="1">
      <alignment horizontal="right"/>
    </xf>
    <xf numFmtId="43" fontId="17" fillId="0" borderId="0" xfId="1" applyFont="1" applyFill="1" applyAlignment="1">
      <alignment horizontal="right"/>
    </xf>
    <xf numFmtId="0" fontId="22" fillId="0" borderId="0" xfId="223" applyFont="1" applyFill="1"/>
    <xf numFmtId="0" fontId="21" fillId="0" borderId="0" xfId="223" applyFont="1" applyFill="1"/>
    <xf numFmtId="0" fontId="21" fillId="0" borderId="0" xfId="223" applyFont="1" applyFill="1" applyAlignment="1">
      <alignment horizontal="center"/>
    </xf>
    <xf numFmtId="41" fontId="21" fillId="0" borderId="0" xfId="223" applyNumberFormat="1" applyFont="1" applyFill="1"/>
    <xf numFmtId="41" fontId="17" fillId="0" borderId="0" xfId="223" applyNumberFormat="1" applyFont="1" applyFill="1" applyBorder="1"/>
    <xf numFmtId="0" fontId="17" fillId="0" borderId="0" xfId="236" applyFont="1" applyFill="1" applyBorder="1" applyAlignment="1">
      <alignment horizontal="centerContinuous"/>
    </xf>
    <xf numFmtId="0" fontId="20" fillId="32" borderId="0" xfId="236" applyNumberFormat="1" applyFont="1" applyFill="1" applyBorder="1" applyAlignment="1">
      <alignment horizontal="right"/>
    </xf>
    <xf numFmtId="0" fontId="17" fillId="0" borderId="0" xfId="236" applyFont="1" applyFill="1" applyAlignment="1">
      <alignment horizontal="center"/>
    </xf>
    <xf numFmtId="0" fontId="17" fillId="0" borderId="0" xfId="236" quotePrefix="1" applyFont="1" applyFill="1" applyBorder="1" applyAlignment="1">
      <alignment horizontal="center"/>
    </xf>
    <xf numFmtId="0" fontId="17" fillId="0" borderId="0" xfId="236" applyFont="1" applyFill="1" applyBorder="1" applyAlignment="1">
      <alignment horizontal="center"/>
    </xf>
    <xf numFmtId="0" fontId="16" fillId="0" borderId="0" xfId="223" applyFont="1" applyFill="1" applyBorder="1" applyAlignment="1">
      <alignment horizontal="center"/>
    </xf>
    <xf numFmtId="0" fontId="85" fillId="32" borderId="0" xfId="0" applyFont="1" applyFill="1" applyAlignment="1">
      <alignment horizontal="left"/>
    </xf>
    <xf numFmtId="0" fontId="70" fillId="32" borderId="0" xfId="0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0" fontId="69" fillId="32" borderId="9" xfId="0" applyFont="1" applyFill="1" applyBorder="1" applyAlignment="1"/>
    <xf numFmtId="166" fontId="17" fillId="0" borderId="0" xfId="1" applyNumberFormat="1" applyFont="1" applyFill="1" applyBorder="1" applyAlignment="1">
      <alignment horizontal="right"/>
    </xf>
    <xf numFmtId="166" fontId="16" fillId="0" borderId="0" xfId="1" applyNumberFormat="1" applyFont="1" applyFill="1" applyBorder="1" applyAlignment="1">
      <alignment horizontal="center"/>
    </xf>
    <xf numFmtId="0" fontId="18" fillId="0" borderId="0" xfId="223" applyFont="1" applyFill="1" applyBorder="1" applyAlignment="1">
      <alignment horizontal="center" wrapText="1"/>
    </xf>
    <xf numFmtId="0" fontId="17" fillId="0" borderId="0" xfId="236" applyFont="1" applyFill="1" applyBorder="1" applyAlignment="1">
      <alignment horizontal="right"/>
    </xf>
    <xf numFmtId="0" fontId="17" fillId="0" borderId="0" xfId="236" applyFont="1" applyFill="1" applyBorder="1" applyAlignment="1">
      <alignment horizontal="left"/>
    </xf>
    <xf numFmtId="166" fontId="17" fillId="0" borderId="0" xfId="236" applyNumberFormat="1" applyFont="1" applyFill="1" applyBorder="1"/>
    <xf numFmtId="0" fontId="16" fillId="0" borderId="0" xfId="215" applyNumberFormat="1" applyFont="1" applyFill="1" applyAlignment="1">
      <alignment horizontal="center" wrapText="1"/>
    </xf>
    <xf numFmtId="0" fontId="70" fillId="32" borderId="0" xfId="215" applyFont="1" applyFill="1" applyAlignment="1">
      <alignment vertical="top" wrapText="1"/>
    </xf>
    <xf numFmtId="166" fontId="86" fillId="0" borderId="0" xfId="192" applyNumberFormat="1" applyFont="1" applyFill="1" applyBorder="1" applyAlignment="1">
      <alignment horizontal="center" wrapText="1"/>
    </xf>
    <xf numFmtId="0" fontId="69" fillId="32" borderId="0" xfId="215" applyFont="1" applyFill="1" applyAlignment="1">
      <alignment vertical="top" wrapText="1"/>
    </xf>
    <xf numFmtId="166" fontId="69" fillId="0" borderId="0" xfId="198" applyNumberFormat="1" applyFont="1" applyFill="1" applyAlignment="1">
      <alignment horizontal="right"/>
    </xf>
    <xf numFmtId="166" fontId="69" fillId="0" borderId="0" xfId="198" applyNumberFormat="1" applyFont="1" applyFill="1" applyAlignment="1">
      <alignment horizontal="left"/>
    </xf>
    <xf numFmtId="166" fontId="69" fillId="0" borderId="0" xfId="198" applyNumberFormat="1" applyFont="1" applyFill="1" applyBorder="1" applyAlignment="1">
      <alignment horizontal="right"/>
    </xf>
    <xf numFmtId="166" fontId="69" fillId="0" borderId="0" xfId="198" applyNumberFormat="1" applyFont="1" applyFill="1" applyBorder="1" applyAlignment="1">
      <alignment horizontal="left"/>
    </xf>
    <xf numFmtId="166" fontId="69" fillId="0" borderId="0" xfId="198" applyNumberFormat="1" applyFont="1" applyFill="1" applyBorder="1" applyAlignment="1"/>
    <xf numFmtId="166" fontId="69" fillId="0" borderId="0" xfId="3" applyNumberFormat="1" applyFont="1" applyFill="1" applyBorder="1" applyAlignment="1">
      <alignment horizontal="right"/>
    </xf>
    <xf numFmtId="166" fontId="69" fillId="0" borderId="0" xfId="3" applyNumberFormat="1" applyFont="1" applyFill="1" applyAlignment="1">
      <alignment horizontal="right"/>
    </xf>
    <xf numFmtId="166" fontId="69" fillId="0" borderId="0" xfId="3" applyNumberFormat="1" applyFont="1" applyFill="1" applyBorder="1" applyAlignment="1"/>
    <xf numFmtId="0" fontId="69" fillId="0" borderId="0" xfId="215" applyFont="1" applyFill="1" applyAlignment="1">
      <alignment vertical="top" wrapText="1"/>
    </xf>
    <xf numFmtId="165" fontId="17" fillId="57" borderId="30" xfId="325" applyFont="1" applyFill="1" applyBorder="1"/>
    <xf numFmtId="183" fontId="17" fillId="57" borderId="9" xfId="325" applyNumberFormat="1" applyFont="1" applyFill="1" applyBorder="1"/>
    <xf numFmtId="0" fontId="17" fillId="32" borderId="0" xfId="0" applyFont="1" applyFill="1"/>
    <xf numFmtId="0" fontId="17" fillId="32" borderId="0" xfId="0" applyFont="1" applyFill="1" applyAlignment="1">
      <alignment horizontal="center"/>
    </xf>
    <xf numFmtId="0" fontId="17" fillId="32" borderId="0" xfId="0" applyFont="1" applyFill="1" applyBorder="1" applyAlignment="1">
      <alignment horizontal="center"/>
    </xf>
    <xf numFmtId="186" fontId="17" fillId="62" borderId="0" xfId="0" applyNumberFormat="1" applyFont="1" applyFill="1"/>
    <xf numFmtId="0" fontId="17" fillId="0" borderId="0" xfId="236" applyFont="1" applyFill="1" applyAlignment="1">
      <alignment horizontal="center"/>
    </xf>
    <xf numFmtId="0" fontId="88" fillId="0" borderId="0" xfId="0" applyFont="1" applyBorder="1" applyAlignment="1">
      <alignment vertical="center"/>
    </xf>
    <xf numFmtId="0" fontId="89" fillId="0" borderId="0" xfId="0" applyFont="1" applyBorder="1"/>
    <xf numFmtId="0" fontId="90" fillId="0" borderId="0" xfId="0" applyFont="1" applyAlignment="1">
      <alignment horizontal="left"/>
    </xf>
    <xf numFmtId="0" fontId="91" fillId="0" borderId="0" xfId="0" applyFont="1" applyAlignment="1">
      <alignment horizontal="left"/>
    </xf>
    <xf numFmtId="184" fontId="89" fillId="0" borderId="0" xfId="0" applyNumberFormat="1" applyFont="1" applyBorder="1" applyAlignment="1">
      <alignment horizontal="left"/>
    </xf>
    <xf numFmtId="0" fontId="9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94" fillId="71" borderId="38" xfId="0" applyFont="1" applyFill="1" applyBorder="1"/>
    <xf numFmtId="0" fontId="94" fillId="71" borderId="38" xfId="0" applyFont="1" applyFill="1" applyBorder="1" applyAlignment="1">
      <alignment wrapText="1"/>
    </xf>
    <xf numFmtId="0" fontId="93" fillId="0" borderId="0" xfId="0" applyFont="1" applyBorder="1" applyAlignment="1">
      <alignment vertical="center"/>
    </xf>
    <xf numFmtId="166" fontId="93" fillId="0" borderId="0" xfId="1" applyNumberFormat="1" applyFont="1" applyBorder="1" applyAlignment="1">
      <alignment horizontal="right" vertical="center"/>
    </xf>
    <xf numFmtId="0" fontId="95" fillId="0" borderId="0" xfId="1" applyNumberFormat="1" applyFont="1" applyBorder="1" applyAlignment="1"/>
    <xf numFmtId="0" fontId="93" fillId="0" borderId="0" xfId="0" applyNumberFormat="1" applyFont="1" applyBorder="1" applyAlignment="1">
      <alignment horizontal="right"/>
    </xf>
    <xf numFmtId="191" fontId="96" fillId="72" borderId="47" xfId="0" applyNumberFormat="1" applyFont="1" applyFill="1" applyBorder="1"/>
    <xf numFmtId="0" fontId="96" fillId="72" borderId="47" xfId="0" applyFont="1" applyFill="1" applyBorder="1"/>
    <xf numFmtId="192" fontId="96" fillId="72" borderId="47" xfId="0" applyNumberFormat="1" applyFont="1" applyFill="1" applyBorder="1"/>
    <xf numFmtId="193" fontId="97" fillId="72" borderId="47" xfId="0" applyNumberFormat="1" applyFont="1" applyFill="1" applyBorder="1" applyAlignment="1">
      <alignment wrapText="1"/>
    </xf>
    <xf numFmtId="193" fontId="96" fillId="72" borderId="47" xfId="0" applyNumberFormat="1" applyFont="1" applyFill="1" applyBorder="1"/>
    <xf numFmtId="194" fontId="96" fillId="72" borderId="47" xfId="0" applyNumberFormat="1" applyFont="1" applyFill="1" applyBorder="1"/>
    <xf numFmtId="165" fontId="0" fillId="0" borderId="0" xfId="199" applyFont="1"/>
    <xf numFmtId="0" fontId="95" fillId="0" borderId="0" xfId="1" applyNumberFormat="1" applyFont="1" applyBorder="1"/>
    <xf numFmtId="191" fontId="96" fillId="73" borderId="47" xfId="0" applyNumberFormat="1" applyFont="1" applyFill="1" applyBorder="1"/>
    <xf numFmtId="0" fontId="96" fillId="73" borderId="47" xfId="0" applyFont="1" applyFill="1" applyBorder="1"/>
    <xf numFmtId="192" fontId="96" fillId="73" borderId="47" xfId="0" applyNumberFormat="1" applyFont="1" applyFill="1" applyBorder="1"/>
    <xf numFmtId="193" fontId="98" fillId="73" borderId="47" xfId="0" applyNumberFormat="1" applyFont="1" applyFill="1" applyBorder="1" applyAlignment="1">
      <alignment wrapText="1"/>
    </xf>
    <xf numFmtId="193" fontId="96" fillId="73" borderId="47" xfId="0" applyNumberFormat="1" applyFont="1" applyFill="1" applyBorder="1"/>
    <xf numFmtId="194" fontId="96" fillId="73" borderId="47" xfId="0" applyNumberFormat="1" applyFont="1" applyFill="1" applyBorder="1"/>
    <xf numFmtId="0" fontId="0" fillId="72" borderId="47" xfId="0" applyFill="1" applyBorder="1"/>
    <xf numFmtId="0" fontId="93" fillId="0" borderId="0" xfId="0" applyFont="1" applyBorder="1" applyAlignment="1">
      <alignment vertical="center" wrapText="1"/>
    </xf>
    <xf numFmtId="193" fontId="97" fillId="73" borderId="47" xfId="0" applyNumberFormat="1" applyFont="1" applyFill="1" applyBorder="1" applyAlignment="1">
      <alignment wrapText="1"/>
    </xf>
    <xf numFmtId="166" fontId="93" fillId="0" borderId="48" xfId="1" applyNumberFormat="1" applyFont="1" applyBorder="1" applyAlignment="1">
      <alignment horizontal="right" vertical="center"/>
    </xf>
    <xf numFmtId="0" fontId="93" fillId="0" borderId="48" xfId="0" applyNumberFormat="1" applyFont="1" applyBorder="1" applyAlignment="1">
      <alignment horizontal="right"/>
    </xf>
    <xf numFmtId="43" fontId="93" fillId="0" borderId="0" xfId="1" applyFont="1" applyBorder="1" applyAlignment="1">
      <alignment horizontal="right" vertical="center"/>
    </xf>
    <xf numFmtId="166" fontId="95" fillId="0" borderId="0" xfId="1" applyNumberFormat="1" applyFont="1" applyBorder="1"/>
    <xf numFmtId="0" fontId="93" fillId="0" borderId="0" xfId="0" applyNumberFormat="1" applyFont="1" applyBorder="1" applyAlignment="1">
      <alignment horizontal="right" vertical="center"/>
    </xf>
    <xf numFmtId="0" fontId="93" fillId="0" borderId="0" xfId="0" applyNumberFormat="1" applyFont="1" applyBorder="1" applyAlignment="1">
      <alignment horizontal="right" vertical="center"/>
    </xf>
    <xf numFmtId="193" fontId="98" fillId="72" borderId="47" xfId="0" applyNumberFormat="1" applyFont="1" applyFill="1" applyBorder="1" applyAlignment="1">
      <alignment wrapText="1"/>
    </xf>
    <xf numFmtId="0" fontId="0" fillId="73" borderId="47" xfId="0" applyFill="1" applyBorder="1"/>
    <xf numFmtId="191" fontId="96" fillId="73" borderId="0" xfId="0" applyNumberFormat="1" applyFont="1" applyFill="1" applyBorder="1"/>
    <xf numFmtId="0" fontId="96" fillId="73" borderId="0" xfId="0" applyFont="1" applyFill="1" applyBorder="1"/>
    <xf numFmtId="192" fontId="96" fillId="73" borderId="0" xfId="0" applyNumberFormat="1" applyFont="1" applyFill="1" applyBorder="1"/>
    <xf numFmtId="193" fontId="98" fillId="73" borderId="0" xfId="0" applyNumberFormat="1" applyFont="1" applyFill="1" applyBorder="1" applyAlignment="1">
      <alignment wrapText="1"/>
    </xf>
    <xf numFmtId="194" fontId="96" fillId="73" borderId="0" xfId="0" applyNumberFormat="1" applyFont="1" applyFill="1" applyBorder="1"/>
    <xf numFmtId="193" fontId="0" fillId="0" borderId="0" xfId="0" applyNumberFormat="1"/>
    <xf numFmtId="165" fontId="0" fillId="0" borderId="0" xfId="0" applyNumberFormat="1"/>
    <xf numFmtId="0" fontId="0" fillId="0" borderId="0" xfId="0" applyNumberFormat="1"/>
    <xf numFmtId="165" fontId="0" fillId="0" borderId="9" xfId="199" applyFont="1" applyBorder="1"/>
    <xf numFmtId="0" fontId="83" fillId="0" borderId="0" xfId="0" applyNumberFormat="1" applyFont="1" applyBorder="1"/>
    <xf numFmtId="0" fontId="83" fillId="0" borderId="0" xfId="0" applyNumberFormat="1" applyFont="1" applyFill="1"/>
    <xf numFmtId="0" fontId="83" fillId="0" borderId="11" xfId="0" applyNumberFormat="1" applyFont="1" applyFill="1" applyBorder="1"/>
    <xf numFmtId="0" fontId="83" fillId="0" borderId="0" xfId="0" applyNumberFormat="1" applyFont="1" applyFill="1" applyBorder="1"/>
    <xf numFmtId="0" fontId="17" fillId="0" borderId="0" xfId="236" applyFont="1" applyFill="1" applyAlignment="1">
      <alignment horizontal="center"/>
    </xf>
    <xf numFmtId="0" fontId="0" fillId="55" borderId="0" xfId="0" applyFill="1"/>
    <xf numFmtId="193" fontId="96" fillId="72" borderId="47" xfId="0" applyNumberFormat="1" applyFont="1" applyFill="1" applyBorder="1" applyAlignment="1">
      <alignment wrapText="1"/>
    </xf>
    <xf numFmtId="0" fontId="17" fillId="0" borderId="0" xfId="223" applyFont="1" applyFill="1" applyAlignment="1">
      <alignment horizontal="center"/>
    </xf>
    <xf numFmtId="0" fontId="79" fillId="74" borderId="0" xfId="0" applyNumberFormat="1" applyFont="1" applyFill="1"/>
    <xf numFmtId="0" fontId="83" fillId="74" borderId="0" xfId="0" applyNumberFormat="1" applyFont="1" applyFill="1"/>
    <xf numFmtId="166" fontId="20" fillId="0" borderId="0" xfId="1" applyNumberFormat="1" applyFont="1" applyFill="1" applyBorder="1" applyAlignment="1">
      <alignment horizontal="right"/>
    </xf>
    <xf numFmtId="43" fontId="89" fillId="0" borderId="0" xfId="0" applyNumberFormat="1" applyFont="1" applyBorder="1"/>
    <xf numFmtId="166" fontId="20" fillId="0" borderId="0" xfId="236" applyNumberFormat="1" applyFont="1" applyFill="1"/>
    <xf numFmtId="166" fontId="17" fillId="0" borderId="0" xfId="0" applyNumberFormat="1" applyFont="1" applyFill="1" applyBorder="1" applyAlignment="1"/>
    <xf numFmtId="166" fontId="17" fillId="0" borderId="0" xfId="236" applyNumberFormat="1" applyFont="1" applyFill="1" applyBorder="1" applyAlignment="1"/>
    <xf numFmtId="43" fontId="84" fillId="0" borderId="0" xfId="1" applyFont="1" applyFill="1" applyAlignment="1">
      <alignment horizontal="right" vertical="center" wrapText="1"/>
    </xf>
    <xf numFmtId="166" fontId="17" fillId="0" borderId="0" xfId="0" applyNumberFormat="1" applyFont="1" applyFill="1" applyBorder="1" applyAlignment="1">
      <alignment horizontal="right"/>
    </xf>
    <xf numFmtId="0" fontId="17" fillId="0" borderId="0" xfId="236" applyNumberFormat="1" applyFont="1" applyFill="1" applyBorder="1" applyAlignment="1">
      <alignment horizontal="right"/>
    </xf>
    <xf numFmtId="166" fontId="20" fillId="0" borderId="0" xfId="1" applyNumberFormat="1" applyFont="1" applyFill="1" applyBorder="1"/>
    <xf numFmtId="166" fontId="20" fillId="0" borderId="0" xfId="236" applyNumberFormat="1" applyFont="1" applyFill="1" applyBorder="1"/>
    <xf numFmtId="166" fontId="20" fillId="0" borderId="9" xfId="1" applyNumberFormat="1" applyFont="1" applyFill="1" applyBorder="1"/>
    <xf numFmtId="166" fontId="17" fillId="0" borderId="9" xfId="0" applyNumberFormat="1" applyFont="1" applyFill="1" applyBorder="1" applyAlignment="1"/>
    <xf numFmtId="166" fontId="20" fillId="0" borderId="9" xfId="1" applyNumberFormat="1" applyFont="1" applyFill="1" applyBorder="1" applyAlignment="1">
      <alignment horizontal="right" wrapText="1"/>
    </xf>
    <xf numFmtId="166" fontId="57" fillId="0" borderId="0" xfId="236" applyNumberFormat="1" applyFont="1" applyFill="1" applyBorder="1" applyAlignment="1"/>
    <xf numFmtId="0" fontId="17" fillId="0" borderId="0" xfId="236" applyNumberFormat="1" applyFont="1" applyFill="1"/>
    <xf numFmtId="0" fontId="17" fillId="0" borderId="0" xfId="236" applyNumberFormat="1" applyFont="1" applyFill="1" applyBorder="1"/>
    <xf numFmtId="43" fontId="17" fillId="0" borderId="0" xfId="215" applyNumberFormat="1" applyFont="1" applyFill="1" applyBorder="1"/>
    <xf numFmtId="0" fontId="17" fillId="0" borderId="0" xfId="236" applyFont="1" applyFill="1" applyAlignment="1">
      <alignment horizontal="center"/>
    </xf>
    <xf numFmtId="0" fontId="69" fillId="32" borderId="0" xfId="215" applyFont="1" applyFill="1" applyAlignment="1">
      <alignment horizontal="left" vertical="top" wrapText="1"/>
    </xf>
    <xf numFmtId="0" fontId="17" fillId="55" borderId="0" xfId="0" applyFont="1" applyFill="1"/>
    <xf numFmtId="0" fontId="17" fillId="55" borderId="0" xfId="0" applyFont="1" applyFill="1" applyBorder="1"/>
    <xf numFmtId="0" fontId="17" fillId="55" borderId="9" xfId="0" applyFont="1" applyFill="1" applyBorder="1"/>
    <xf numFmtId="177" fontId="17" fillId="61" borderId="0" xfId="223" applyNumberFormat="1" applyFont="1" applyFill="1" applyBorder="1"/>
    <xf numFmtId="0" fontId="17" fillId="0" borderId="0" xfId="236" applyFont="1" applyFill="1" applyAlignment="1">
      <alignment horizontal="center"/>
    </xf>
    <xf numFmtId="0" fontId="17" fillId="0" borderId="0" xfId="235" applyFont="1" applyFill="1" applyAlignment="1">
      <alignment horizontal="left" vertical="center"/>
    </xf>
    <xf numFmtId="166" fontId="58" fillId="0" borderId="0" xfId="1" applyNumberFormat="1" applyFont="1" applyFill="1" applyAlignment="1">
      <alignment horizontal="center"/>
    </xf>
    <xf numFmtId="0" fontId="16" fillId="0" borderId="0" xfId="223" applyFont="1" applyFill="1" applyBorder="1" applyAlignment="1">
      <alignment horizontal="center"/>
    </xf>
    <xf numFmtId="166" fontId="17" fillId="55" borderId="0" xfId="1" applyNumberFormat="1" applyFont="1" applyFill="1" applyAlignment="1">
      <alignment horizontal="right"/>
    </xf>
    <xf numFmtId="41" fontId="17" fillId="55" borderId="0" xfId="0" applyNumberFormat="1" applyFont="1" applyFill="1" applyBorder="1" applyAlignment="1">
      <alignment horizontal="right"/>
    </xf>
    <xf numFmtId="43" fontId="20" fillId="55" borderId="0" xfId="1" applyFont="1" applyFill="1" applyBorder="1" applyAlignment="1">
      <alignment horizontal="right"/>
    </xf>
    <xf numFmtId="166" fontId="17" fillId="55" borderId="0" xfId="1" applyNumberFormat="1" applyFont="1" applyFill="1" applyBorder="1" applyAlignment="1">
      <alignment horizontal="right"/>
    </xf>
    <xf numFmtId="177" fontId="20" fillId="55" borderId="0" xfId="236" applyNumberFormat="1" applyFont="1" applyFill="1" applyBorder="1" applyAlignment="1">
      <alignment horizontal="right"/>
    </xf>
    <xf numFmtId="166" fontId="17" fillId="55" borderId="9" xfId="1" applyNumberFormat="1" applyFont="1" applyFill="1" applyBorder="1" applyAlignment="1">
      <alignment horizontal="right"/>
    </xf>
    <xf numFmtId="166" fontId="20" fillId="55" borderId="9" xfId="1" applyNumberFormat="1" applyFont="1" applyFill="1" applyBorder="1" applyAlignment="1">
      <alignment horizontal="right"/>
    </xf>
    <xf numFmtId="177" fontId="17" fillId="55" borderId="0" xfId="236" applyNumberFormat="1" applyFont="1" applyFill="1" applyBorder="1" applyAlignment="1">
      <alignment horizontal="right"/>
    </xf>
    <xf numFmtId="166" fontId="20" fillId="55" borderId="0" xfId="1" applyNumberFormat="1" applyFont="1" applyFill="1" applyBorder="1" applyAlignment="1">
      <alignment horizontal="right"/>
    </xf>
    <xf numFmtId="166" fontId="20" fillId="55" borderId="0" xfId="1" applyNumberFormat="1" applyFont="1" applyFill="1" applyAlignment="1">
      <alignment horizontal="right"/>
    </xf>
    <xf numFmtId="43" fontId="17" fillId="55" borderId="0" xfId="1" applyFont="1" applyFill="1" applyBorder="1" applyAlignment="1">
      <alignment horizontal="right"/>
    </xf>
    <xf numFmtId="177" fontId="17" fillId="55" borderId="0" xfId="236" applyNumberFormat="1" applyFont="1" applyFill="1" applyBorder="1" applyAlignment="1">
      <alignment horizontal="right" shrinkToFit="1"/>
    </xf>
    <xf numFmtId="166" fontId="17" fillId="55" borderId="9" xfId="1" applyNumberFormat="1" applyFont="1" applyFill="1" applyBorder="1" applyAlignment="1">
      <alignment horizontal="right" shrinkToFit="1"/>
    </xf>
    <xf numFmtId="166" fontId="17" fillId="55" borderId="0" xfId="1" applyNumberFormat="1" applyFont="1" applyFill="1" applyBorder="1" applyAlignment="1">
      <alignment horizontal="right" shrinkToFit="1"/>
    </xf>
    <xf numFmtId="166" fontId="17" fillId="55" borderId="9" xfId="1" applyNumberFormat="1" applyFont="1" applyFill="1" applyBorder="1"/>
    <xf numFmtId="177" fontId="17" fillId="55" borderId="0" xfId="236" applyNumberFormat="1" applyFont="1" applyFill="1" applyBorder="1" applyAlignment="1"/>
    <xf numFmtId="166" fontId="17" fillId="55" borderId="0" xfId="1" applyNumberFormat="1" applyFont="1" applyFill="1" applyBorder="1" applyAlignment="1"/>
    <xf numFmtId="41" fontId="17" fillId="55" borderId="9" xfId="0" applyNumberFormat="1" applyFont="1" applyFill="1" applyBorder="1" applyAlignment="1">
      <alignment horizontal="right"/>
    </xf>
    <xf numFmtId="166" fontId="17" fillId="55" borderId="11" xfId="1" applyNumberFormat="1" applyFont="1" applyFill="1" applyBorder="1" applyAlignment="1">
      <alignment horizontal="right"/>
    </xf>
    <xf numFmtId="43" fontId="17" fillId="55" borderId="0" xfId="1" applyFont="1" applyFill="1" applyAlignment="1">
      <alignment horizontal="right"/>
    </xf>
    <xf numFmtId="0" fontId="17" fillId="0" borderId="0" xfId="236" applyFont="1" applyFill="1" applyAlignment="1">
      <alignment horizontal="center"/>
    </xf>
    <xf numFmtId="166" fontId="69" fillId="0" borderId="0" xfId="1" applyNumberFormat="1" applyFont="1" applyFill="1" applyBorder="1" applyAlignment="1">
      <alignment horizontal="right"/>
    </xf>
    <xf numFmtId="166" fontId="86" fillId="0" borderId="9" xfId="192" applyNumberFormat="1" applyFont="1" applyFill="1" applyBorder="1" applyAlignment="1">
      <alignment horizontal="center" wrapText="1"/>
    </xf>
    <xf numFmtId="166" fontId="69" fillId="0" borderId="9" xfId="198" applyNumberFormat="1" applyFont="1" applyFill="1" applyBorder="1" applyAlignment="1">
      <alignment horizontal="right"/>
    </xf>
    <xf numFmtId="0" fontId="17" fillId="0" borderId="0" xfId="236" applyFont="1" applyFill="1" applyAlignment="1">
      <alignment horizontal="center"/>
    </xf>
    <xf numFmtId="0" fontId="17" fillId="0" borderId="0" xfId="236" applyFont="1" applyFill="1" applyBorder="1" applyAlignment="1">
      <alignment horizontal="center"/>
    </xf>
    <xf numFmtId="0" fontId="16" fillId="0" borderId="0" xfId="223" applyFont="1" applyFill="1" applyBorder="1" applyAlignment="1">
      <alignment horizontal="center"/>
    </xf>
    <xf numFmtId="0" fontId="17" fillId="0" borderId="0" xfId="215" applyNumberFormat="1" applyFont="1" applyFill="1" applyAlignment="1"/>
    <xf numFmtId="0" fontId="20" fillId="0" borderId="0" xfId="215" quotePrefix="1" applyFont="1" applyFill="1" applyAlignment="1">
      <alignment wrapText="1"/>
    </xf>
    <xf numFmtId="0" fontId="17" fillId="0" borderId="0" xfId="215" quotePrefix="1" applyFont="1" applyFill="1" applyAlignment="1">
      <alignment horizontal="center"/>
    </xf>
    <xf numFmtId="0" fontId="17" fillId="0" borderId="0" xfId="215" applyFont="1" applyFill="1" applyAlignment="1">
      <alignment horizontal="center"/>
    </xf>
    <xf numFmtId="41" fontId="17" fillId="0" borderId="0" xfId="0" applyNumberFormat="1" applyFont="1" applyFill="1" applyBorder="1" applyAlignment="1">
      <alignment horizontal="left"/>
    </xf>
    <xf numFmtId="177" fontId="20" fillId="0" borderId="0" xfId="236" applyNumberFormat="1" applyFont="1" applyFill="1" applyBorder="1" applyAlignment="1">
      <alignment horizontal="left"/>
    </xf>
    <xf numFmtId="177" fontId="17" fillId="75" borderId="0" xfId="223" applyNumberFormat="1" applyFont="1" applyFill="1" applyBorder="1"/>
    <xf numFmtId="177" fontId="17" fillId="64" borderId="0" xfId="223" applyNumberFormat="1" applyFont="1" applyFill="1" applyBorder="1"/>
    <xf numFmtId="177" fontId="17" fillId="63" borderId="0" xfId="223" applyNumberFormat="1" applyFont="1" applyFill="1" applyBorder="1"/>
    <xf numFmtId="177" fontId="17" fillId="76" borderId="0" xfId="223" applyNumberFormat="1" applyFont="1" applyFill="1" applyBorder="1"/>
    <xf numFmtId="177" fontId="17" fillId="77" borderId="0" xfId="223" applyNumberFormat="1" applyFont="1" applyFill="1" applyBorder="1"/>
    <xf numFmtId="43" fontId="17" fillId="0" borderId="26" xfId="1" applyFont="1" applyFill="1" applyBorder="1"/>
    <xf numFmtId="177" fontId="17" fillId="78" borderId="0" xfId="223" applyNumberFormat="1" applyFont="1" applyFill="1" applyBorder="1"/>
    <xf numFmtId="177" fontId="17" fillId="70" borderId="0" xfId="223" applyNumberFormat="1" applyFont="1" applyFill="1" applyBorder="1"/>
    <xf numFmtId="166" fontId="17" fillId="0" borderId="22" xfId="1" applyNumberFormat="1" applyFont="1" applyFill="1" applyBorder="1"/>
    <xf numFmtId="166" fontId="17" fillId="0" borderId="16" xfId="1" applyNumberFormat="1" applyFont="1" applyFill="1" applyBorder="1"/>
    <xf numFmtId="177" fontId="17" fillId="79" borderId="0" xfId="223" applyNumberFormat="1" applyFont="1" applyFill="1" applyBorder="1"/>
    <xf numFmtId="0" fontId="96" fillId="72" borderId="0" xfId="0" applyFont="1" applyFill="1" applyBorder="1"/>
    <xf numFmtId="0" fontId="0" fillId="0" borderId="0" xfId="0" applyNumberFormat="1"/>
    <xf numFmtId="166" fontId="17" fillId="55" borderId="0" xfId="1" applyNumberFormat="1" applyFont="1" applyFill="1" applyAlignment="1">
      <alignment horizontal="center"/>
    </xf>
    <xf numFmtId="166" fontId="17" fillId="55" borderId="16" xfId="1" applyNumberFormat="1" applyFont="1" applyFill="1" applyBorder="1" applyAlignment="1">
      <alignment horizontal="center"/>
    </xf>
    <xf numFmtId="166" fontId="17" fillId="55" borderId="10" xfId="1" applyNumberFormat="1" applyFont="1" applyFill="1" applyBorder="1" applyAlignment="1">
      <alignment horizontal="center"/>
    </xf>
    <xf numFmtId="0" fontId="17" fillId="57" borderId="30" xfId="325" applyNumberFormat="1" applyFont="1" applyFill="1" applyBorder="1"/>
    <xf numFmtId="0" fontId="17" fillId="57" borderId="0" xfId="325" applyNumberFormat="1" applyFont="1" applyFill="1" applyBorder="1"/>
    <xf numFmtId="43" fontId="89" fillId="0" borderId="0" xfId="1" applyFont="1" applyBorder="1"/>
    <xf numFmtId="43" fontId="0" fillId="55" borderId="0" xfId="1" applyFont="1" applyFill="1"/>
    <xf numFmtId="165" fontId="0" fillId="55" borderId="0" xfId="199" applyFont="1" applyFill="1"/>
    <xf numFmtId="193" fontId="96" fillId="73" borderId="47" xfId="0" applyNumberFormat="1" applyFont="1" applyFill="1" applyBorder="1" applyAlignment="1">
      <alignment wrapText="1"/>
    </xf>
    <xf numFmtId="193" fontId="89" fillId="0" borderId="0" xfId="0" applyNumberFormat="1" applyFont="1" applyBorder="1"/>
    <xf numFmtId="166" fontId="69" fillId="0" borderId="11" xfId="198" applyNumberFormat="1" applyFont="1" applyFill="1" applyBorder="1" applyAlignment="1"/>
    <xf numFmtId="0" fontId="17" fillId="0" borderId="0" xfId="236" applyFont="1" applyFill="1" applyAlignment="1">
      <alignment horizontal="center"/>
    </xf>
    <xf numFmtId="43" fontId="58" fillId="80" borderId="0" xfId="1" applyFont="1" applyFill="1"/>
    <xf numFmtId="43" fontId="58" fillId="81" borderId="0" xfId="1" applyFont="1" applyFill="1"/>
    <xf numFmtId="43" fontId="58" fillId="0" borderId="9" xfId="1" applyFont="1" applyFill="1" applyBorder="1"/>
    <xf numFmtId="43" fontId="17" fillId="81" borderId="0" xfId="1" applyFont="1" applyFill="1" applyBorder="1"/>
    <xf numFmtId="177" fontId="17" fillId="82" borderId="0" xfId="223" applyNumberFormat="1" applyFont="1" applyFill="1"/>
    <xf numFmtId="0" fontId="100" fillId="0" borderId="0" xfId="223" applyFont="1" applyFill="1"/>
    <xf numFmtId="43" fontId="17" fillId="78" borderId="0" xfId="1" applyFont="1" applyFill="1" applyAlignment="1">
      <alignment horizontal="center"/>
    </xf>
    <xf numFmtId="166" fontId="16" fillId="78" borderId="22" xfId="1" applyNumberFormat="1" applyFont="1" applyFill="1" applyBorder="1"/>
    <xf numFmtId="43" fontId="17" fillId="55" borderId="0" xfId="1" applyFont="1" applyFill="1" applyAlignment="1">
      <alignment horizontal="center"/>
    </xf>
    <xf numFmtId="43" fontId="16" fillId="0" borderId="10" xfId="1" applyFont="1" applyFill="1" applyBorder="1" applyAlignment="1">
      <alignment horizontal="center"/>
    </xf>
    <xf numFmtId="0" fontId="17" fillId="55" borderId="0" xfId="223" applyFont="1" applyFill="1"/>
    <xf numFmtId="165" fontId="16" fillId="57" borderId="0" xfId="325" applyFont="1" applyFill="1"/>
    <xf numFmtId="43" fontId="17" fillId="57" borderId="0" xfId="1" applyFont="1" applyFill="1" applyAlignment="1">
      <alignment horizontal="left"/>
    </xf>
    <xf numFmtId="165" fontId="0" fillId="83" borderId="0" xfId="199" applyFont="1" applyFill="1"/>
    <xf numFmtId="43" fontId="0" fillId="83" borderId="0" xfId="1" applyFont="1" applyFill="1"/>
    <xf numFmtId="43" fontId="89" fillId="83" borderId="0" xfId="1" applyFont="1" applyFill="1" applyBorder="1"/>
    <xf numFmtId="43" fontId="17" fillId="0" borderId="0" xfId="0" applyNumberFormat="1" applyFont="1" applyFill="1" applyBorder="1"/>
    <xf numFmtId="0" fontId="17" fillId="0" borderId="0" xfId="236" applyFont="1" applyFill="1" applyAlignment="1">
      <alignment horizontal="center"/>
    </xf>
    <xf numFmtId="43" fontId="0" fillId="0" borderId="9" xfId="1" applyFont="1" applyBorder="1"/>
    <xf numFmtId="43" fontId="0" fillId="0" borderId="0" xfId="1" applyFont="1" applyFill="1"/>
    <xf numFmtId="43" fontId="0" fillId="84" borderId="0" xfId="1" applyFont="1" applyFill="1"/>
    <xf numFmtId="0" fontId="0" fillId="0" borderId="0" xfId="0" applyNumberFormat="1"/>
    <xf numFmtId="0" fontId="0" fillId="0" borderId="0" xfId="0" applyAlignment="1">
      <alignment horizontal="left"/>
    </xf>
    <xf numFmtId="43" fontId="0" fillId="56" borderId="0" xfId="1" applyFont="1" applyFill="1"/>
    <xf numFmtId="43" fontId="0" fillId="68" borderId="0" xfId="1" applyFont="1" applyFill="1"/>
    <xf numFmtId="0" fontId="0" fillId="84" borderId="0" xfId="0" applyFill="1"/>
    <xf numFmtId="0" fontId="0" fillId="0" borderId="0" xfId="0" pivotButton="1"/>
    <xf numFmtId="43" fontId="75" fillId="0" borderId="0" xfId="1" applyFont="1"/>
    <xf numFmtId="43" fontId="75" fillId="0" borderId="0" xfId="0" applyNumberFormat="1" applyFont="1"/>
    <xf numFmtId="43" fontId="0" fillId="85" borderId="0" xfId="1" applyFont="1" applyFill="1"/>
    <xf numFmtId="0" fontId="101" fillId="0" borderId="49" xfId="0" applyFont="1" applyFill="1" applyBorder="1" applyAlignment="1">
      <alignment vertical="center"/>
    </xf>
    <xf numFmtId="0" fontId="102" fillId="0" borderId="49" xfId="0" applyFont="1" applyFill="1" applyBorder="1" applyAlignment="1">
      <alignment vertical="center"/>
    </xf>
    <xf numFmtId="0" fontId="102" fillId="0" borderId="49" xfId="0" applyFont="1" applyFill="1" applyBorder="1" applyAlignment="1">
      <alignment horizontal="center" vertical="center"/>
    </xf>
    <xf numFmtId="195" fontId="101" fillId="0" borderId="49" xfId="0" applyNumberFormat="1" applyFont="1" applyFill="1" applyBorder="1" applyAlignment="1">
      <alignment vertical="center"/>
    </xf>
    <xf numFmtId="196" fontId="101" fillId="0" borderId="49" xfId="0" applyNumberFormat="1" applyFont="1" applyFill="1" applyBorder="1" applyAlignment="1">
      <alignment vertical="center"/>
    </xf>
    <xf numFmtId="0" fontId="101" fillId="0" borderId="49" xfId="0" applyNumberFormat="1" applyFont="1" applyFill="1" applyBorder="1" applyAlignment="1">
      <alignment horizontal="center" vertical="center"/>
    </xf>
    <xf numFmtId="0" fontId="101" fillId="0" borderId="49" xfId="0" applyNumberFormat="1" applyFont="1" applyFill="1" applyBorder="1" applyAlignment="1">
      <alignment vertical="center"/>
    </xf>
    <xf numFmtId="197" fontId="101" fillId="0" borderId="49" xfId="0" applyNumberFormat="1" applyFont="1" applyFill="1" applyBorder="1" applyAlignment="1">
      <alignment vertical="center"/>
    </xf>
    <xf numFmtId="0" fontId="101" fillId="0" borderId="50" xfId="0" applyFont="1" applyFill="1" applyBorder="1" applyAlignment="1">
      <alignment vertical="center"/>
    </xf>
    <xf numFmtId="0" fontId="102" fillId="0" borderId="50" xfId="0" applyFont="1" applyFill="1" applyBorder="1" applyAlignment="1">
      <alignment vertical="center"/>
    </xf>
    <xf numFmtId="0" fontId="102" fillId="0" borderId="50" xfId="0" applyFont="1" applyFill="1" applyBorder="1" applyAlignment="1">
      <alignment horizontal="center" vertical="center"/>
    </xf>
    <xf numFmtId="195" fontId="101" fillId="0" borderId="50" xfId="0" applyNumberFormat="1" applyFont="1" applyFill="1" applyBorder="1" applyAlignment="1">
      <alignment vertical="center"/>
    </xf>
    <xf numFmtId="196" fontId="101" fillId="0" borderId="50" xfId="0" applyNumberFormat="1" applyFont="1" applyFill="1" applyBorder="1" applyAlignment="1">
      <alignment vertical="center"/>
    </xf>
    <xf numFmtId="0" fontId="101" fillId="0" borderId="50" xfId="0" applyNumberFormat="1" applyFont="1" applyFill="1" applyBorder="1" applyAlignment="1">
      <alignment horizontal="center" vertical="center"/>
    </xf>
    <xf numFmtId="0" fontId="101" fillId="0" borderId="50" xfId="0" applyNumberFormat="1" applyFont="1" applyFill="1" applyBorder="1" applyAlignment="1">
      <alignment vertical="center"/>
    </xf>
    <xf numFmtId="197" fontId="101" fillId="0" borderId="50" xfId="0" applyNumberFormat="1" applyFont="1" applyFill="1" applyBorder="1" applyAlignment="1">
      <alignment vertical="center"/>
    </xf>
    <xf numFmtId="0" fontId="89" fillId="86" borderId="29" xfId="0" applyFont="1" applyFill="1" applyBorder="1" applyAlignment="1">
      <alignment vertical="center"/>
    </xf>
    <xf numFmtId="0" fontId="89" fillId="86" borderId="29" xfId="0" applyFont="1" applyFill="1" applyBorder="1" applyAlignment="1">
      <alignment horizontal="center" vertical="center"/>
    </xf>
    <xf numFmtId="195" fontId="89" fillId="86" borderId="29" xfId="0" applyNumberFormat="1" applyFont="1" applyFill="1" applyBorder="1" applyAlignment="1">
      <alignment vertical="center"/>
    </xf>
    <xf numFmtId="196" fontId="89" fillId="86" borderId="29" xfId="0" applyNumberFormat="1" applyFont="1" applyFill="1" applyBorder="1" applyAlignment="1">
      <alignment vertical="center"/>
    </xf>
    <xf numFmtId="0" fontId="89" fillId="86" borderId="29" xfId="0" applyNumberFormat="1" applyFont="1" applyFill="1" applyBorder="1" applyAlignment="1">
      <alignment horizontal="center" vertical="center"/>
    </xf>
    <xf numFmtId="0" fontId="89" fillId="86" borderId="29" xfId="0" applyNumberFormat="1" applyFont="1" applyFill="1" applyBorder="1" applyAlignment="1">
      <alignment vertical="center"/>
    </xf>
    <xf numFmtId="197" fontId="89" fillId="86" borderId="29" xfId="0" applyNumberFormat="1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center" vertical="center"/>
    </xf>
    <xf numFmtId="195" fontId="101" fillId="0" borderId="0" xfId="0" applyNumberFormat="1" applyFont="1" applyFill="1" applyBorder="1" applyAlignment="1">
      <alignment vertical="center"/>
    </xf>
    <xf numFmtId="196" fontId="101" fillId="0" borderId="0" xfId="0" applyNumberFormat="1" applyFont="1" applyFill="1" applyBorder="1" applyAlignment="1">
      <alignment vertical="center"/>
    </xf>
    <xf numFmtId="0" fontId="101" fillId="0" borderId="0" xfId="0" applyNumberFormat="1" applyFont="1" applyFill="1" applyBorder="1" applyAlignment="1">
      <alignment horizontal="center" vertical="center"/>
    </xf>
    <xf numFmtId="0" fontId="101" fillId="0" borderId="0" xfId="0" applyNumberFormat="1" applyFont="1" applyFill="1" applyBorder="1" applyAlignment="1">
      <alignment vertical="center"/>
    </xf>
    <xf numFmtId="197" fontId="101" fillId="0" borderId="0" xfId="0" applyNumberFormat="1" applyFont="1" applyFill="1" applyBorder="1" applyAlignment="1">
      <alignment vertical="center"/>
    </xf>
    <xf numFmtId="195" fontId="103" fillId="0" borderId="51" xfId="0" applyNumberFormat="1" applyFont="1" applyFill="1" applyBorder="1" applyAlignment="1" applyProtection="1">
      <alignment horizontal="center" vertical="center" wrapText="1"/>
      <protection locked="0"/>
    </xf>
    <xf numFmtId="195" fontId="104" fillId="0" borderId="51" xfId="0" applyNumberFormat="1" applyFont="1" applyFill="1" applyBorder="1" applyAlignment="1" applyProtection="1">
      <alignment horizontal="center" vertical="center" wrapText="1"/>
      <protection locked="0"/>
    </xf>
    <xf numFmtId="195" fontId="105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05" fillId="0" borderId="51" xfId="0" applyFont="1" applyFill="1" applyBorder="1" applyAlignment="1" applyProtection="1">
      <alignment horizontal="center" vertical="center" wrapText="1"/>
      <protection locked="0"/>
    </xf>
    <xf numFmtId="0" fontId="103" fillId="0" borderId="51" xfId="0" applyFont="1" applyFill="1" applyBorder="1" applyAlignment="1" applyProtection="1">
      <alignment horizontal="center" vertical="center" wrapText="1"/>
      <protection locked="0"/>
    </xf>
    <xf numFmtId="196" fontId="103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03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05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05" fillId="0" borderId="51" xfId="0" applyNumberFormat="1" applyFont="1" applyFill="1" applyBorder="1" applyAlignment="1">
      <alignment horizontal="center" vertical="center" wrapText="1"/>
    </xf>
    <xf numFmtId="197" fontId="105" fillId="0" borderId="51" xfId="0" applyNumberFormat="1" applyFont="1" applyFill="1" applyBorder="1" applyAlignment="1">
      <alignment horizontal="center" vertical="center" wrapText="1"/>
    </xf>
    <xf numFmtId="0" fontId="103" fillId="0" borderId="51" xfId="0" applyNumberFormat="1" applyFont="1" applyFill="1" applyBorder="1" applyAlignment="1">
      <alignment horizontal="center" vertical="center" wrapText="1"/>
    </xf>
    <xf numFmtId="0" fontId="103" fillId="55" borderId="51" xfId="0" applyNumberFormat="1" applyFont="1" applyFill="1" applyBorder="1" applyAlignment="1">
      <alignment horizontal="center" vertical="center" wrapText="1"/>
    </xf>
    <xf numFmtId="0" fontId="107" fillId="0" borderId="51" xfId="0" applyNumberFormat="1" applyFont="1" applyFill="1" applyBorder="1" applyAlignment="1">
      <alignment horizontal="center" vertical="center" wrapText="1"/>
    </xf>
    <xf numFmtId="0" fontId="103" fillId="0" borderId="52" xfId="0" applyNumberFormat="1" applyFont="1" applyFill="1" applyBorder="1" applyAlignment="1">
      <alignment horizontal="center" vertical="center" wrapText="1"/>
    </xf>
    <xf numFmtId="0" fontId="17" fillId="57" borderId="0" xfId="325" applyNumberFormat="1" applyFont="1" applyFill="1" applyAlignment="1">
      <alignment horizontal="right"/>
    </xf>
    <xf numFmtId="43" fontId="0" fillId="0" borderId="49" xfId="1" applyFont="1" applyBorder="1"/>
    <xf numFmtId="43" fontId="101" fillId="0" borderId="49" xfId="1" applyFont="1" applyFill="1" applyBorder="1" applyAlignment="1">
      <alignment vertical="center"/>
    </xf>
    <xf numFmtId="43" fontId="0" fillId="0" borderId="50" xfId="1" applyFont="1" applyBorder="1"/>
    <xf numFmtId="0" fontId="0" fillId="0" borderId="0" xfId="0" applyNumberFormat="1"/>
    <xf numFmtId="0" fontId="17" fillId="0" borderId="0" xfId="236" applyFont="1" applyFill="1" applyAlignment="1">
      <alignment horizontal="center"/>
    </xf>
    <xf numFmtId="166" fontId="68" fillId="0" borderId="0" xfId="198" applyNumberFormat="1" applyFont="1" applyFill="1" applyAlignment="1">
      <alignment horizontal="left"/>
    </xf>
    <xf numFmtId="0" fontId="68" fillId="0" borderId="0" xfId="236" applyFont="1" applyFill="1" applyBorder="1" applyAlignment="1">
      <alignment horizontal="left"/>
    </xf>
    <xf numFmtId="0" fontId="68" fillId="0" borderId="0" xfId="236" applyFont="1" applyFill="1" applyAlignment="1">
      <alignment horizontal="left"/>
    </xf>
    <xf numFmtId="0" fontId="99" fillId="0" borderId="0" xfId="236" applyFont="1" applyFill="1" applyBorder="1" applyAlignment="1"/>
    <xf numFmtId="43" fontId="68" fillId="0" borderId="0" xfId="198" applyNumberFormat="1" applyFont="1" applyFill="1" applyBorder="1" applyAlignment="1">
      <alignment horizontal="left"/>
    </xf>
    <xf numFmtId="0" fontId="99" fillId="32" borderId="0" xfId="236" applyFont="1" applyFill="1" applyBorder="1" applyAlignment="1"/>
    <xf numFmtId="0" fontId="68" fillId="32" borderId="0" xfId="236" applyFont="1" applyFill="1" applyBorder="1" applyAlignment="1">
      <alignment horizontal="left"/>
    </xf>
    <xf numFmtId="166" fontId="68" fillId="0" borderId="0" xfId="198" applyNumberFormat="1" applyFont="1" applyFill="1" applyBorder="1" applyAlignment="1">
      <alignment horizontal="left"/>
    </xf>
    <xf numFmtId="0" fontId="68" fillId="32" borderId="0" xfId="236" applyFont="1" applyFill="1" applyAlignment="1">
      <alignment horizontal="left"/>
    </xf>
    <xf numFmtId="0" fontId="27" fillId="32" borderId="0" xfId="223" applyFont="1" applyFill="1"/>
    <xf numFmtId="0" fontId="27" fillId="32" borderId="0" xfId="223" applyFont="1" applyFill="1" applyAlignment="1">
      <alignment horizontal="center"/>
    </xf>
    <xf numFmtId="166" fontId="15" fillId="0" borderId="0" xfId="198" applyNumberFormat="1" applyFont="1" applyFill="1" applyAlignment="1">
      <alignment horizontal="left"/>
    </xf>
    <xf numFmtId="0" fontId="27" fillId="0" borderId="0" xfId="236" applyFont="1" applyFill="1" applyBorder="1" applyAlignment="1"/>
    <xf numFmtId="43" fontId="15" fillId="0" borderId="0" xfId="198" applyNumberFormat="1" applyFont="1" applyFill="1" applyBorder="1" applyAlignment="1">
      <alignment horizontal="left"/>
    </xf>
    <xf numFmtId="0" fontId="27" fillId="32" borderId="0" xfId="236" applyFont="1" applyFill="1" applyBorder="1" applyAlignment="1"/>
    <xf numFmtId="0" fontId="15" fillId="32" borderId="0" xfId="236" applyFont="1" applyFill="1" applyBorder="1" applyAlignment="1">
      <alignment horizontal="left"/>
    </xf>
    <xf numFmtId="166" fontId="15" fillId="0" borderId="0" xfId="198" applyNumberFormat="1" applyFont="1" applyFill="1" applyBorder="1" applyAlignment="1">
      <alignment horizontal="left"/>
    </xf>
    <xf numFmtId="166" fontId="17" fillId="0" borderId="10" xfId="1" applyNumberFormat="1" applyFont="1" applyFill="1" applyBorder="1"/>
    <xf numFmtId="164" fontId="17" fillId="0" borderId="0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166" fontId="69" fillId="0" borderId="16" xfId="198" applyNumberFormat="1" applyFont="1" applyFill="1" applyBorder="1" applyAlignment="1"/>
    <xf numFmtId="166" fontId="86" fillId="55" borderId="0" xfId="192" applyNumberFormat="1" applyFont="1" applyFill="1" applyBorder="1" applyAlignment="1">
      <alignment horizontal="center" wrapText="1"/>
    </xf>
    <xf numFmtId="166" fontId="69" fillId="55" borderId="0" xfId="198" applyNumberFormat="1" applyFont="1" applyFill="1" applyBorder="1" applyAlignment="1">
      <alignment horizontal="right"/>
    </xf>
    <xf numFmtId="166" fontId="69" fillId="55" borderId="0" xfId="198" applyNumberFormat="1" applyFont="1" applyFill="1" applyBorder="1" applyAlignment="1"/>
    <xf numFmtId="166" fontId="87" fillId="55" borderId="0" xfId="198" applyNumberFormat="1" applyFont="1" applyFill="1" applyBorder="1" applyAlignment="1"/>
    <xf numFmtId="166" fontId="69" fillId="55" borderId="0" xfId="198" applyNumberFormat="1" applyFont="1" applyFill="1" applyBorder="1" applyAlignment="1">
      <alignment horizontal="center" wrapText="1"/>
    </xf>
    <xf numFmtId="166" fontId="86" fillId="55" borderId="9" xfId="192" applyNumberFormat="1" applyFont="1" applyFill="1" applyBorder="1" applyAlignment="1">
      <alignment horizontal="center" wrapText="1"/>
    </xf>
    <xf numFmtId="166" fontId="69" fillId="55" borderId="9" xfId="198" applyNumberFormat="1" applyFont="1" applyFill="1" applyBorder="1" applyAlignment="1">
      <alignment horizontal="right"/>
    </xf>
    <xf numFmtId="166" fontId="17" fillId="55" borderId="0" xfId="1" applyNumberFormat="1" applyFont="1" applyFill="1" applyAlignment="1"/>
    <xf numFmtId="0" fontId="17" fillId="55" borderId="0" xfId="0" applyNumberFormat="1" applyFont="1" applyFill="1" applyBorder="1"/>
    <xf numFmtId="43" fontId="17" fillId="55" borderId="0" xfId="1" applyFont="1" applyFill="1" applyBorder="1"/>
    <xf numFmtId="41" fontId="21" fillId="55" borderId="0" xfId="0" applyNumberFormat="1" applyFont="1" applyFill="1"/>
    <xf numFmtId="0" fontId="19" fillId="55" borderId="0" xfId="0" applyFont="1" applyFill="1"/>
    <xf numFmtId="43" fontId="20" fillId="0" borderId="0" xfId="1" applyFont="1" applyFill="1" applyBorder="1" applyAlignment="1">
      <alignment horizontal="right"/>
    </xf>
    <xf numFmtId="166" fontId="17" fillId="55" borderId="0" xfId="1" quotePrefix="1" applyNumberFormat="1" applyFont="1" applyFill="1" applyBorder="1" applyAlignment="1">
      <alignment horizontal="left"/>
    </xf>
    <xf numFmtId="181" fontId="17" fillId="57" borderId="22" xfId="199" applyNumberFormat="1" applyFont="1" applyFill="1" applyBorder="1" applyAlignment="1">
      <alignment horizontal="center"/>
    </xf>
    <xf numFmtId="181" fontId="17" fillId="57" borderId="9" xfId="199" applyNumberFormat="1" applyFont="1" applyFill="1" applyBorder="1" applyAlignment="1">
      <alignment horizontal="center"/>
    </xf>
    <xf numFmtId="43" fontId="16" fillId="57" borderId="22" xfId="1" applyFont="1" applyFill="1" applyBorder="1" applyAlignment="1">
      <alignment horizontal="center"/>
    </xf>
    <xf numFmtId="0" fontId="17" fillId="57" borderId="0" xfId="0" applyFont="1" applyFill="1" applyBorder="1" applyAlignment="1">
      <alignment horizontal="center"/>
    </xf>
    <xf numFmtId="181" fontId="17" fillId="57" borderId="32" xfId="199" applyNumberFormat="1" applyFont="1" applyFill="1" applyBorder="1"/>
    <xf numFmtId="183" fontId="17" fillId="57" borderId="25" xfId="199" applyNumberFormat="1" applyFont="1" applyFill="1" applyBorder="1"/>
    <xf numFmtId="181" fontId="17" fillId="57" borderId="30" xfId="199" applyNumberFormat="1" applyFont="1" applyFill="1" applyBorder="1"/>
    <xf numFmtId="0" fontId="17" fillId="57" borderId="0" xfId="0" applyNumberFormat="1" applyFont="1" applyFill="1" applyBorder="1" applyAlignment="1">
      <alignment horizontal="center" wrapText="1"/>
    </xf>
    <xf numFmtId="0" fontId="17" fillId="57" borderId="0" xfId="0" applyNumberFormat="1" applyFont="1" applyFill="1" applyBorder="1" applyAlignment="1">
      <alignment horizontal="center"/>
    </xf>
    <xf numFmtId="181" fontId="17" fillId="57" borderId="31" xfId="199" applyNumberFormat="1" applyFont="1" applyFill="1" applyBorder="1"/>
    <xf numFmtId="181" fontId="16" fillId="57" borderId="32" xfId="234" applyNumberFormat="1" applyFont="1" applyFill="1" applyBorder="1" applyAlignment="1">
      <alignment horizontal="center"/>
    </xf>
    <xf numFmtId="181" fontId="16" fillId="57" borderId="22" xfId="234" applyNumberFormat="1" applyFont="1" applyFill="1" applyBorder="1" applyAlignment="1">
      <alignment horizontal="center"/>
    </xf>
    <xf numFmtId="183" fontId="16" fillId="57" borderId="22" xfId="199" applyNumberFormat="1" applyFont="1" applyFill="1" applyBorder="1" applyAlignment="1">
      <alignment horizontal="centerContinuous"/>
    </xf>
    <xf numFmtId="183" fontId="16" fillId="57" borderId="25" xfId="199" applyNumberFormat="1" applyFont="1" applyFill="1" applyBorder="1" applyAlignment="1">
      <alignment horizontal="center"/>
    </xf>
    <xf numFmtId="181" fontId="21" fillId="57" borderId="30" xfId="234" applyNumberFormat="1" applyFont="1" applyFill="1" applyBorder="1"/>
    <xf numFmtId="181" fontId="21" fillId="57" borderId="0" xfId="234" applyNumberFormat="1" applyFont="1" applyFill="1" applyBorder="1" applyAlignment="1">
      <alignment horizontal="center"/>
    </xf>
    <xf numFmtId="181" fontId="17" fillId="57" borderId="30" xfId="234" applyNumberFormat="1" applyFont="1" applyFill="1" applyBorder="1"/>
    <xf numFmtId="181" fontId="17" fillId="57" borderId="31" xfId="234" applyNumberFormat="1" applyFont="1" applyFill="1" applyBorder="1"/>
    <xf numFmtId="43" fontId="17" fillId="57" borderId="0" xfId="0" applyNumberFormat="1" applyFont="1" applyFill="1"/>
    <xf numFmtId="0" fontId="17" fillId="0" borderId="0" xfId="236" applyFont="1" applyFill="1" applyAlignment="1">
      <alignment horizontal="center"/>
    </xf>
    <xf numFmtId="43" fontId="17" fillId="0" borderId="0" xfId="1" applyFont="1" applyFill="1" applyBorder="1" applyAlignment="1">
      <alignment horizontal="right"/>
    </xf>
    <xf numFmtId="43" fontId="17" fillId="0" borderId="9" xfId="1" applyFont="1" applyFill="1" applyBorder="1" applyAlignment="1">
      <alignment horizontal="right"/>
    </xf>
    <xf numFmtId="0" fontId="58" fillId="0" borderId="0" xfId="236" applyFont="1" applyFill="1" applyAlignment="1">
      <alignment horizontal="center"/>
    </xf>
    <xf numFmtId="191" fontId="96" fillId="72" borderId="0" xfId="0" applyNumberFormat="1" applyFont="1" applyFill="1" applyBorder="1"/>
    <xf numFmtId="0" fontId="0" fillId="72" borderId="0" xfId="0" applyFill="1" applyBorder="1"/>
    <xf numFmtId="192" fontId="96" fillId="72" borderId="0" xfId="0" applyNumberFormat="1" applyFont="1" applyFill="1" applyBorder="1"/>
    <xf numFmtId="193" fontId="98" fillId="72" borderId="0" xfId="0" applyNumberFormat="1" applyFont="1" applyFill="1" applyBorder="1" applyAlignment="1">
      <alignment wrapText="1"/>
    </xf>
    <xf numFmtId="193" fontId="96" fillId="72" borderId="0" xfId="0" applyNumberFormat="1" applyFont="1" applyFill="1" applyBorder="1"/>
    <xf numFmtId="194" fontId="96" fillId="72" borderId="0" xfId="0" applyNumberFormat="1" applyFont="1" applyFill="1" applyBorder="1"/>
    <xf numFmtId="0" fontId="101" fillId="55" borderId="49" xfId="0" applyNumberFormat="1" applyFont="1" applyFill="1" applyBorder="1" applyAlignment="1">
      <alignment vertical="center"/>
    </xf>
    <xf numFmtId="0" fontId="101" fillId="55" borderId="50" xfId="0" applyNumberFormat="1" applyFont="1" applyFill="1" applyBorder="1" applyAlignment="1">
      <alignment vertical="center"/>
    </xf>
    <xf numFmtId="0" fontId="101" fillId="84" borderId="49" xfId="0" applyNumberFormat="1" applyFont="1" applyFill="1" applyBorder="1" applyAlignment="1">
      <alignment vertical="center"/>
    </xf>
    <xf numFmtId="0" fontId="101" fillId="84" borderId="50" xfId="0" applyNumberFormat="1" applyFont="1" applyFill="1" applyBorder="1" applyAlignment="1">
      <alignment vertical="center"/>
    </xf>
    <xf numFmtId="0" fontId="101" fillId="0" borderId="53" xfId="0" applyNumberFormat="1" applyFont="1" applyFill="1" applyBorder="1" applyAlignment="1">
      <alignment vertical="center"/>
    </xf>
    <xf numFmtId="0" fontId="93" fillId="0" borderId="38" xfId="0" applyFont="1" applyBorder="1" applyAlignment="1">
      <alignment vertical="center"/>
    </xf>
    <xf numFmtId="43" fontId="0" fillId="0" borderId="38" xfId="1" applyFont="1" applyBorder="1"/>
    <xf numFmtId="0" fontId="0" fillId="0" borderId="0" xfId="0" applyNumberFormat="1"/>
    <xf numFmtId="0" fontId="17" fillId="0" borderId="0" xfId="1" applyNumberFormat="1" applyFont="1" applyFill="1" applyAlignment="1">
      <alignment horizontal="right"/>
    </xf>
    <xf numFmtId="0" fontId="93" fillId="0" borderId="38" xfId="0" applyFont="1" applyBorder="1" applyAlignment="1">
      <alignment vertical="center" wrapText="1"/>
    </xf>
    <xf numFmtId="43" fontId="0" fillId="0" borderId="54" xfId="1" applyFont="1" applyBorder="1"/>
    <xf numFmtId="43" fontId="0" fillId="0" borderId="55" xfId="1" applyFont="1" applyBorder="1"/>
    <xf numFmtId="43" fontId="0" fillId="0" borderId="56" xfId="1" applyFont="1" applyBorder="1"/>
    <xf numFmtId="0" fontId="0" fillId="0" borderId="38" xfId="0" applyBorder="1"/>
    <xf numFmtId="0" fontId="93" fillId="0" borderId="38" xfId="0" applyFont="1" applyFill="1" applyBorder="1" applyAlignment="1">
      <alignment vertical="center" wrapText="1"/>
    </xf>
    <xf numFmtId="43" fontId="0" fillId="0" borderId="38" xfId="0" applyNumberFormat="1" applyBorder="1"/>
    <xf numFmtId="0" fontId="17" fillId="57" borderId="0" xfId="1" applyNumberFormat="1" applyFont="1" applyFill="1" applyAlignment="1">
      <alignment horizontal="right"/>
    </xf>
    <xf numFmtId="177" fontId="17" fillId="55" borderId="9" xfId="223" applyNumberFormat="1" applyFont="1" applyFill="1" applyBorder="1"/>
    <xf numFmtId="166" fontId="16" fillId="0" borderId="9" xfId="1" applyNumberFormat="1" applyFont="1" applyFill="1" applyBorder="1" applyAlignment="1">
      <alignment horizontal="left"/>
    </xf>
    <xf numFmtId="166" fontId="16" fillId="0" borderId="0" xfId="1" applyNumberFormat="1" applyFont="1" applyFill="1" applyBorder="1" applyAlignment="1">
      <alignment horizontal="left"/>
    </xf>
    <xf numFmtId="166" fontId="56" fillId="0" borderId="0" xfId="1" applyNumberFormat="1" applyFont="1" applyFill="1" applyBorder="1" applyAlignment="1">
      <alignment horizontal="right"/>
    </xf>
    <xf numFmtId="164" fontId="17" fillId="0" borderId="9" xfId="1" applyNumberFormat="1" applyFont="1" applyFill="1" applyBorder="1" applyAlignment="1"/>
    <xf numFmtId="0" fontId="16" fillId="0" borderId="0" xfId="223" applyFont="1" applyFill="1" applyBorder="1" applyAlignment="1">
      <alignment horizontal="center"/>
    </xf>
    <xf numFmtId="0" fontId="55" fillId="0" borderId="0" xfId="0" applyFont="1" applyFill="1" applyAlignment="1">
      <alignment horizontal="center" wrapText="1"/>
    </xf>
    <xf numFmtId="166" fontId="17" fillId="0" borderId="0" xfId="1" applyNumberFormat="1" applyFont="1" applyFill="1" applyBorder="1" applyAlignment="1">
      <alignment horizontal="right" wrapText="1"/>
    </xf>
    <xf numFmtId="166" fontId="87" fillId="0" borderId="0" xfId="198" applyNumberFormat="1" applyFont="1" applyFill="1" applyBorder="1" applyAlignment="1"/>
    <xf numFmtId="166" fontId="69" fillId="0" borderId="0" xfId="198" applyNumberFormat="1" applyFont="1" applyFill="1" applyBorder="1" applyAlignment="1">
      <alignment horizontal="center" wrapText="1"/>
    </xf>
    <xf numFmtId="166" fontId="69" fillId="0" borderId="9" xfId="198" applyNumberFormat="1" applyFont="1" applyFill="1" applyBorder="1" applyAlignment="1">
      <alignment horizontal="center" wrapText="1"/>
    </xf>
    <xf numFmtId="166" fontId="86" fillId="0" borderId="22" xfId="192" applyNumberFormat="1" applyFont="1" applyFill="1" applyBorder="1" applyAlignment="1">
      <alignment horizontal="center" wrapText="1"/>
    </xf>
    <xf numFmtId="166" fontId="86" fillId="0" borderId="11" xfId="192" applyNumberFormat="1" applyFont="1" applyFill="1" applyBorder="1" applyAlignment="1">
      <alignment horizontal="center" wrapText="1"/>
    </xf>
    <xf numFmtId="0" fontId="68" fillId="32" borderId="0" xfId="223" applyFont="1" applyFill="1" applyAlignment="1">
      <alignment horizontal="left"/>
    </xf>
    <xf numFmtId="0" fontId="27" fillId="32" borderId="0" xfId="0" applyFont="1" applyFill="1"/>
    <xf numFmtId="0" fontId="27" fillId="32" borderId="0" xfId="236" applyFont="1" applyFill="1" applyAlignment="1">
      <alignment horizontal="left"/>
    </xf>
    <xf numFmtId="0" fontId="15" fillId="32" borderId="0" xfId="223" applyFont="1" applyFill="1" applyBorder="1" applyAlignment="1">
      <alignment horizontal="left"/>
    </xf>
    <xf numFmtId="0" fontId="27" fillId="32" borderId="9" xfId="223" applyFont="1" applyFill="1" applyBorder="1" applyAlignment="1"/>
    <xf numFmtId="0" fontId="27" fillId="0" borderId="0" xfId="215" applyFont="1" applyFill="1" applyBorder="1"/>
    <xf numFmtId="43" fontId="0" fillId="67" borderId="0" xfId="1" applyFont="1" applyFill="1"/>
    <xf numFmtId="43" fontId="17" fillId="68" borderId="0" xfId="1" applyFont="1" applyFill="1" applyBorder="1"/>
    <xf numFmtId="43" fontId="17" fillId="0" borderId="16" xfId="1" applyFont="1" applyFill="1" applyBorder="1"/>
    <xf numFmtId="43" fontId="17" fillId="76" borderId="0" xfId="1" applyFont="1" applyFill="1" applyBorder="1"/>
    <xf numFmtId="43" fontId="17" fillId="75" borderId="0" xfId="1" applyFont="1" applyFill="1" applyBorder="1"/>
    <xf numFmtId="43" fontId="17" fillId="0" borderId="0" xfId="236" applyNumberFormat="1" applyFont="1" applyFill="1"/>
    <xf numFmtId="43" fontId="17" fillId="74" borderId="0" xfId="1" applyFont="1" applyFill="1" applyBorder="1" applyAlignment="1">
      <alignment horizontal="center"/>
    </xf>
    <xf numFmtId="166" fontId="17" fillId="74" borderId="22" xfId="1" applyNumberFormat="1" applyFont="1" applyFill="1" applyBorder="1"/>
    <xf numFmtId="166" fontId="59" fillId="0" borderId="0" xfId="1" applyNumberFormat="1" applyFont="1" applyFill="1" applyBorder="1"/>
    <xf numFmtId="166" fontId="59" fillId="0" borderId="0" xfId="223" applyNumberFormat="1" applyFont="1" applyFill="1" applyBorder="1"/>
    <xf numFmtId="43" fontId="59" fillId="81" borderId="0" xfId="1" applyFont="1" applyFill="1" applyBorder="1"/>
    <xf numFmtId="166" fontId="59" fillId="81" borderId="0" xfId="223" applyNumberFormat="1" applyFont="1" applyFill="1" applyBorder="1"/>
    <xf numFmtId="164" fontId="89" fillId="0" borderId="0" xfId="1" applyNumberFormat="1" applyFont="1" applyFill="1" applyBorder="1" applyAlignment="1"/>
    <xf numFmtId="166" fontId="89" fillId="0" borderId="0" xfId="1" applyNumberFormat="1" applyFont="1" applyFill="1" applyBorder="1" applyAlignment="1">
      <alignment horizontal="right"/>
    </xf>
    <xf numFmtId="166" fontId="89" fillId="0" borderId="0" xfId="236" applyNumberFormat="1" applyFont="1" applyFill="1" applyBorder="1" applyAlignment="1"/>
    <xf numFmtId="166" fontId="89" fillId="0" borderId="0" xfId="1" applyNumberFormat="1" applyFont="1" applyFill="1" applyBorder="1"/>
    <xf numFmtId="166" fontId="89" fillId="0" borderId="9" xfId="1" applyNumberFormat="1" applyFont="1" applyFill="1" applyBorder="1"/>
    <xf numFmtId="166" fontId="89" fillId="0" borderId="9" xfId="1" applyNumberFormat="1" applyFont="1" applyFill="1" applyBorder="1" applyAlignment="1">
      <alignment horizontal="right"/>
    </xf>
    <xf numFmtId="166" fontId="93" fillId="0" borderId="0" xfId="1" applyNumberFormat="1" applyFont="1" applyFill="1" applyBorder="1" applyAlignment="1">
      <alignment horizontal="right" vertical="center" wrapText="1"/>
    </xf>
    <xf numFmtId="166" fontId="20" fillId="0" borderId="9" xfId="236" applyNumberFormat="1" applyFont="1" applyFill="1" applyBorder="1"/>
    <xf numFmtId="166" fontId="93" fillId="0" borderId="0" xfId="1" applyNumberFormat="1" applyFont="1" applyFill="1" applyAlignment="1">
      <alignment horizontal="right" vertical="center" wrapText="1"/>
    </xf>
    <xf numFmtId="43" fontId="101" fillId="0" borderId="53" xfId="1" applyFont="1" applyFill="1" applyBorder="1" applyAlignment="1">
      <alignment vertical="center"/>
    </xf>
    <xf numFmtId="43" fontId="17" fillId="68" borderId="0" xfId="236" applyNumberFormat="1" applyFont="1" applyFill="1" applyBorder="1"/>
    <xf numFmtId="166" fontId="17" fillId="68" borderId="0" xfId="1" applyNumberFormat="1" applyFont="1" applyFill="1" applyBorder="1"/>
    <xf numFmtId="166" fontId="17" fillId="57" borderId="9" xfId="1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 vertical="center" wrapText="1"/>
    </xf>
    <xf numFmtId="0" fontId="20" fillId="0" borderId="0" xfId="0" quotePrefix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0" xfId="236" applyFont="1" applyFill="1" applyAlignment="1">
      <alignment horizontal="center"/>
    </xf>
    <xf numFmtId="0" fontId="17" fillId="0" borderId="0" xfId="236" quotePrefix="1" applyFont="1" applyFill="1" applyBorder="1" applyAlignment="1">
      <alignment horizontal="center"/>
    </xf>
    <xf numFmtId="0" fontId="17" fillId="0" borderId="0" xfId="236" applyFont="1" applyFill="1" applyBorder="1" applyAlignment="1">
      <alignment horizontal="center"/>
    </xf>
    <xf numFmtId="166" fontId="16" fillId="0" borderId="0" xfId="1" applyNumberFormat="1" applyFont="1" applyFill="1" applyAlignment="1">
      <alignment horizontal="center"/>
    </xf>
    <xf numFmtId="0" fontId="17" fillId="32" borderId="0" xfId="0" applyNumberFormat="1" applyFont="1" applyFill="1" applyAlignment="1">
      <alignment horizontal="center"/>
    </xf>
    <xf numFmtId="0" fontId="17" fillId="32" borderId="0" xfId="236" quotePrefix="1" applyFont="1" applyFill="1" applyAlignment="1">
      <alignment horizontal="center"/>
    </xf>
    <xf numFmtId="0" fontId="17" fillId="32" borderId="0" xfId="236" applyFont="1" applyFill="1" applyAlignment="1">
      <alignment horizontal="center"/>
    </xf>
    <xf numFmtId="166" fontId="17" fillId="32" borderId="0" xfId="1" applyNumberFormat="1" applyFont="1" applyFill="1" applyBorder="1" applyAlignment="1">
      <alignment horizontal="center"/>
    </xf>
    <xf numFmtId="0" fontId="16" fillId="0" borderId="0" xfId="223" applyFont="1" applyFill="1" applyBorder="1" applyAlignment="1">
      <alignment horizontal="center"/>
    </xf>
    <xf numFmtId="0" fontId="15" fillId="0" borderId="9" xfId="299" applyFont="1" applyBorder="1" applyAlignment="1">
      <alignment horizontal="center"/>
    </xf>
    <xf numFmtId="0" fontId="15" fillId="0" borderId="22" xfId="299" applyFont="1" applyBorder="1" applyAlignment="1">
      <alignment horizontal="center"/>
    </xf>
    <xf numFmtId="0" fontId="70" fillId="0" borderId="0" xfId="299" applyFont="1" applyAlignment="1">
      <alignment horizontal="center"/>
    </xf>
    <xf numFmtId="183" fontId="16" fillId="57" borderId="32" xfId="199" applyNumberFormat="1" applyFont="1" applyFill="1" applyBorder="1" applyAlignment="1">
      <alignment horizontal="center" vertical="center" wrapText="1"/>
    </xf>
    <xf numFmtId="183" fontId="16" fillId="57" borderId="31" xfId="199" applyNumberFormat="1" applyFont="1" applyFill="1" applyBorder="1" applyAlignment="1">
      <alignment horizontal="center" vertical="center" wrapText="1"/>
    </xf>
    <xf numFmtId="183" fontId="16" fillId="57" borderId="22" xfId="199" applyNumberFormat="1" applyFont="1" applyFill="1" applyBorder="1" applyAlignment="1">
      <alignment horizontal="center" vertical="center" wrapText="1"/>
    </xf>
    <xf numFmtId="183" fontId="16" fillId="57" borderId="9" xfId="199" applyNumberFormat="1" applyFont="1" applyFill="1" applyBorder="1" applyAlignment="1">
      <alignment horizontal="center" vertical="center" wrapText="1"/>
    </xf>
    <xf numFmtId="181" fontId="17" fillId="57" borderId="22" xfId="199" applyNumberFormat="1" applyFont="1" applyFill="1" applyBorder="1" applyAlignment="1">
      <alignment horizontal="center"/>
    </xf>
    <xf numFmtId="181" fontId="17" fillId="57" borderId="9" xfId="199" applyNumberFormat="1" applyFont="1" applyFill="1" applyBorder="1" applyAlignment="1">
      <alignment horizontal="center"/>
    </xf>
    <xf numFmtId="181" fontId="16" fillId="57" borderId="22" xfId="199" applyNumberFormat="1" applyFont="1" applyFill="1" applyBorder="1" applyAlignment="1">
      <alignment horizontal="center"/>
    </xf>
    <xf numFmtId="181" fontId="16" fillId="57" borderId="9" xfId="199" applyNumberFormat="1" applyFont="1" applyFill="1" applyBorder="1" applyAlignment="1">
      <alignment horizontal="center"/>
    </xf>
    <xf numFmtId="43" fontId="16" fillId="57" borderId="22" xfId="1" applyFont="1" applyFill="1" applyBorder="1" applyAlignment="1">
      <alignment horizontal="center"/>
    </xf>
    <xf numFmtId="43" fontId="16" fillId="57" borderId="9" xfId="1" applyFont="1" applyFill="1" applyBorder="1" applyAlignment="1">
      <alignment horizontal="center"/>
    </xf>
    <xf numFmtId="181" fontId="16" fillId="57" borderId="32" xfId="199" applyNumberFormat="1" applyFont="1" applyFill="1" applyBorder="1" applyAlignment="1">
      <alignment horizontal="center" vertical="center" wrapText="1"/>
    </xf>
    <xf numFmtId="181" fontId="16" fillId="57" borderId="31" xfId="199" applyNumberFormat="1" applyFont="1" applyFill="1" applyBorder="1" applyAlignment="1">
      <alignment horizontal="center" vertical="center" wrapText="1"/>
    </xf>
    <xf numFmtId="181" fontId="16" fillId="57" borderId="22" xfId="199" applyNumberFormat="1" applyFont="1" applyFill="1" applyBorder="1" applyAlignment="1">
      <alignment horizontal="center" vertical="center" wrapText="1"/>
    </xf>
    <xf numFmtId="181" fontId="16" fillId="57" borderId="9" xfId="199" applyNumberFormat="1" applyFont="1" applyFill="1" applyBorder="1" applyAlignment="1">
      <alignment horizontal="center" vertical="center" wrapText="1"/>
    </xf>
    <xf numFmtId="43" fontId="16" fillId="61" borderId="32" xfId="1" applyFont="1" applyFill="1" applyBorder="1" applyAlignment="1">
      <alignment horizontal="center" vertical="center" wrapText="1"/>
    </xf>
    <xf numFmtId="43" fontId="16" fillId="61" borderId="31" xfId="1" applyFont="1" applyFill="1" applyBorder="1" applyAlignment="1">
      <alignment horizontal="center" vertical="center" wrapText="1"/>
    </xf>
  </cellXfs>
  <cellStyles count="332">
    <cellStyle name="_HSBC Seguros Diciembre 12" xfId="4"/>
    <cellStyle name="_HSBC Seguros Diciembre 12_Estados Financieros - HSBC Seguros -agosto 2013" xfId="5"/>
    <cellStyle name="_x0003_¶?°?‘}É" xfId="6"/>
    <cellStyle name="_x0003_¶?°?‘}É 2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20% - Énfasis1 2" xfId="20"/>
    <cellStyle name="20% - Énfasis1 2 2" xfId="21"/>
    <cellStyle name="20% - Énfasis1 3" xfId="22"/>
    <cellStyle name="20% - Énfasis1 3 2" xfId="23"/>
    <cellStyle name="20% - Énfasis1 4" xfId="24"/>
    <cellStyle name="20% - Énfasis2 2" xfId="25"/>
    <cellStyle name="20% - Énfasis2 2 2" xfId="26"/>
    <cellStyle name="20% - Énfasis2 3" xfId="27"/>
    <cellStyle name="20% - Énfasis2 3 2" xfId="28"/>
    <cellStyle name="20% - Énfasis2 4" xfId="29"/>
    <cellStyle name="20% - Énfasis3 2" xfId="30"/>
    <cellStyle name="20% - Énfasis3 2 2" xfId="31"/>
    <cellStyle name="20% - Énfasis3 3" xfId="32"/>
    <cellStyle name="20% - Énfasis3 3 2" xfId="33"/>
    <cellStyle name="20% - Énfasis3 4" xfId="34"/>
    <cellStyle name="20% - Énfasis4 2" xfId="35"/>
    <cellStyle name="20% - Énfasis4 2 2" xfId="36"/>
    <cellStyle name="20% - Énfasis4 3" xfId="37"/>
    <cellStyle name="20% - Énfasis4 3 2" xfId="38"/>
    <cellStyle name="20% - Énfasis4 4" xfId="39"/>
    <cellStyle name="20% - Énfasis5 2" xfId="40"/>
    <cellStyle name="20% - Énfasis5 2 2" xfId="41"/>
    <cellStyle name="20% - Énfasis5 3" xfId="42"/>
    <cellStyle name="20% - Énfasis5 3 2" xfId="43"/>
    <cellStyle name="20% - Énfasis5 4" xfId="306"/>
    <cellStyle name="20% - Énfasis6 2" xfId="44"/>
    <cellStyle name="20% - Énfasis6 2 2" xfId="45"/>
    <cellStyle name="20% - Énfasis6 3" xfId="46"/>
    <cellStyle name="20% - Énfasis6 3 2" xfId="47"/>
    <cellStyle name="20% - Énfasis6 4" xfId="48"/>
    <cellStyle name="40% - Accent1" xfId="49"/>
    <cellStyle name="40% - Accent1 2" xfId="50"/>
    <cellStyle name="40% - Accent2" xfId="51"/>
    <cellStyle name="40% - Accent2 2" xfId="52"/>
    <cellStyle name="40% - Accent3" xfId="53"/>
    <cellStyle name="40% - Accent3 2" xfId="54"/>
    <cellStyle name="40% - Accent4" xfId="55"/>
    <cellStyle name="40% - Accent4 2" xfId="56"/>
    <cellStyle name="40% - Accent5" xfId="57"/>
    <cellStyle name="40% - Accent5 2" xfId="58"/>
    <cellStyle name="40% - Accent6" xfId="59"/>
    <cellStyle name="40% - Accent6 2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2 2" xfId="66"/>
    <cellStyle name="40% - Énfasis2 2 2" xfId="67"/>
    <cellStyle name="40% - Énfasis2 3" xfId="68"/>
    <cellStyle name="40% - Énfasis2 3 2" xfId="69"/>
    <cellStyle name="40% - Énfasis2 4" xfId="307"/>
    <cellStyle name="40% - Énfasis3 2" xfId="70"/>
    <cellStyle name="40% - Énfasis3 2 2" xfId="71"/>
    <cellStyle name="40% - Énfasis3 3" xfId="72"/>
    <cellStyle name="40% - Énfasis3 3 2" xfId="73"/>
    <cellStyle name="40% - Énfasis3 4" xfId="74"/>
    <cellStyle name="40% - Énfasis4 2" xfId="75"/>
    <cellStyle name="40% - Énfasis4 2 2" xfId="76"/>
    <cellStyle name="40% - Énfasis4 3" xfId="77"/>
    <cellStyle name="40% - Énfasis4 3 2" xfId="78"/>
    <cellStyle name="40% - Énfasis4 4" xfId="79"/>
    <cellStyle name="40% - Énfasis5 2" xfId="80"/>
    <cellStyle name="40% - Énfasis5 2 2" xfId="81"/>
    <cellStyle name="40% - Énfasis5 3" xfId="82"/>
    <cellStyle name="40% - Énfasis5 3 2" xfId="83"/>
    <cellStyle name="40% - Énfasis5 4" xfId="84"/>
    <cellStyle name="40% - Énfasis6 2" xfId="85"/>
    <cellStyle name="40% - Énfasis6 2 2" xfId="86"/>
    <cellStyle name="40% - Énfasis6 3" xfId="87"/>
    <cellStyle name="40% - Énfasis6 3 2" xfId="88"/>
    <cellStyle name="40% - Énfasis6 4" xfId="89"/>
    <cellStyle name="60% - Accent1" xfId="90"/>
    <cellStyle name="60% - Accent1 2" xfId="91"/>
    <cellStyle name="60% - Accent2" xfId="92"/>
    <cellStyle name="60% - Accent2 2" xfId="93"/>
    <cellStyle name="60% - Accent3" xfId="94"/>
    <cellStyle name="60% - Accent3 2" xfId="95"/>
    <cellStyle name="60% - Accent4" xfId="96"/>
    <cellStyle name="60% - Accent4 2" xfId="97"/>
    <cellStyle name="60% - Accent5" xfId="98"/>
    <cellStyle name="60% - Accent5 2" xfId="99"/>
    <cellStyle name="60% - Accent6" xfId="100"/>
    <cellStyle name="60% - Accent6 2" xfId="101"/>
    <cellStyle name="60% - Énfasis1 2" xfId="102"/>
    <cellStyle name="60% - Énfasis1 3" xfId="103"/>
    <cellStyle name="60% - Énfasis2 2" xfId="104"/>
    <cellStyle name="60% - Énfasis2 3" xfId="105"/>
    <cellStyle name="60% - Énfasis3 2" xfId="106"/>
    <cellStyle name="60% - Énfasis3 3" xfId="107"/>
    <cellStyle name="60% - Énfasis4 2" xfId="108"/>
    <cellStyle name="60% - Énfasis4 3" xfId="109"/>
    <cellStyle name="60% - Énfasis5 2" xfId="110"/>
    <cellStyle name="60% - Énfasis5 3" xfId="111"/>
    <cellStyle name="60% - Énfasis6 2" xfId="112"/>
    <cellStyle name="60% - Énfasis6 3" xfId="113"/>
    <cellStyle name="Accent1" xfId="114"/>
    <cellStyle name="Accent1 2" xfId="115"/>
    <cellStyle name="Accent2" xfId="116"/>
    <cellStyle name="Accent2 2" xfId="117"/>
    <cellStyle name="Accent3" xfId="118"/>
    <cellStyle name="Accent3 2" xfId="119"/>
    <cellStyle name="Accent4" xfId="120"/>
    <cellStyle name="Accent4 2" xfId="121"/>
    <cellStyle name="Accent5" xfId="122"/>
    <cellStyle name="Accent5 2" xfId="123"/>
    <cellStyle name="Accent6" xfId="124"/>
    <cellStyle name="Accent6 2" xfId="125"/>
    <cellStyle name="Accounting without underline" xfId="302"/>
    <cellStyle name="Bad" xfId="126"/>
    <cellStyle name="Bad 2" xfId="127"/>
    <cellStyle name="Buena 2" xfId="128"/>
    <cellStyle name="Buena 3" xfId="129"/>
    <cellStyle name="CalcNum" xfId="130"/>
    <cellStyle name="CalcNum 2" xfId="131"/>
    <cellStyle name="Calculation" xfId="132"/>
    <cellStyle name="Calculation 2" xfId="133"/>
    <cellStyle name="Cálculo 2" xfId="134"/>
    <cellStyle name="Cálculo 3" xfId="135"/>
    <cellStyle name="Celda de comprobación 2" xfId="136"/>
    <cellStyle name="Celda de comprobación 3" xfId="308"/>
    <cellStyle name="Celda vinculada 2" xfId="137"/>
    <cellStyle name="Celda vinculada 3" xfId="138"/>
    <cellStyle name="Check Cell" xfId="286"/>
    <cellStyle name="Check Cell 2" xfId="139"/>
    <cellStyle name="Comma 2" xfId="140"/>
    <cellStyle name="Comma 2 2" xfId="141"/>
    <cellStyle name="Comma 2 2 2" xfId="142"/>
    <cellStyle name="Comma 2 2 3" xfId="309"/>
    <cellStyle name="Comma 2 3" xfId="143"/>
    <cellStyle name="Comma 2_Archivo de Elimeys" xfId="144"/>
    <cellStyle name="Comma 3" xfId="145"/>
    <cellStyle name="Comma 3 2" xfId="146"/>
    <cellStyle name="Comma 4" xfId="147"/>
    <cellStyle name="Comma 5" xfId="148"/>
    <cellStyle name="Comma 6" xfId="149"/>
    <cellStyle name="Currency with doble underline" xfId="304"/>
    <cellStyle name="Encabezado 4 2" xfId="150"/>
    <cellStyle name="Encabezado 4 3" xfId="151"/>
    <cellStyle name="Énfasis1 2" xfId="152"/>
    <cellStyle name="Énfasis1 3" xfId="153"/>
    <cellStyle name="Énfasis2 2" xfId="154"/>
    <cellStyle name="Énfasis2 3" xfId="155"/>
    <cellStyle name="Énfasis3 2" xfId="156"/>
    <cellStyle name="Énfasis3 3" xfId="157"/>
    <cellStyle name="Énfasis4 2" xfId="158"/>
    <cellStyle name="Énfasis4 3" xfId="159"/>
    <cellStyle name="Énfasis5 2" xfId="160"/>
    <cellStyle name="Énfasis5 3" xfId="310"/>
    <cellStyle name="Énfasis6 2" xfId="161"/>
    <cellStyle name="Énfasis6 3" xfId="162"/>
    <cellStyle name="Entrada 2" xfId="163"/>
    <cellStyle name="Entrada 3" xfId="164"/>
    <cellStyle name="Estilo 1" xfId="165"/>
    <cellStyle name="Estilo 1 2" xfId="166"/>
    <cellStyle name="Estilo 1 2 2" xfId="167"/>
    <cellStyle name="Euro" xfId="168"/>
    <cellStyle name="Euro 2" xfId="169"/>
    <cellStyle name="Euro 2 2" xfId="326"/>
    <cellStyle name="Euro 3" xfId="311"/>
    <cellStyle name="Explanatory Text" xfId="170"/>
    <cellStyle name="Explanatory Text 2" xfId="171"/>
    <cellStyle name="Followed Hyperlink" xfId="287"/>
    <cellStyle name="Good" xfId="288"/>
    <cellStyle name="Good 2" xfId="172"/>
    <cellStyle name="Grand_total_no" xfId="173"/>
    <cellStyle name="GrandTotal" xfId="174"/>
    <cellStyle name="GTotalInputNum" xfId="175"/>
    <cellStyle name="GTotalNum" xfId="176"/>
    <cellStyle name="Heading 1" xfId="177"/>
    <cellStyle name="Heading 1 2" xfId="178"/>
    <cellStyle name="Heading 2" xfId="179"/>
    <cellStyle name="Heading 2 2" xfId="180"/>
    <cellStyle name="Heading 3" xfId="181"/>
    <cellStyle name="Heading 3 2" xfId="182"/>
    <cellStyle name="Heading 4" xfId="289"/>
    <cellStyle name="Heading 4 2" xfId="183"/>
    <cellStyle name="Hyperlink" xfId="290"/>
    <cellStyle name="Incorrecto 2" xfId="184"/>
    <cellStyle name="Incorrecto 3" xfId="185"/>
    <cellStyle name="Input" xfId="291"/>
    <cellStyle name="Input 2" xfId="186"/>
    <cellStyle name="InputGTotal" xfId="187"/>
    <cellStyle name="InputNum" xfId="188"/>
    <cellStyle name="InputTotal" xfId="189"/>
    <cellStyle name="Linked Cell" xfId="292"/>
    <cellStyle name="Linked Cell 2" xfId="190"/>
    <cellStyle name="Millares" xfId="1" builtinId="3"/>
    <cellStyle name="Millares 10" xfId="191"/>
    <cellStyle name="Millares 2" xfId="192"/>
    <cellStyle name="Millares 2 2" xfId="193"/>
    <cellStyle name="Millares 2 2 2" xfId="325"/>
    <cellStyle name="Millares 2 3" xfId="194"/>
    <cellStyle name="Millares 3" xfId="195"/>
    <cellStyle name="Millares 3 2" xfId="196"/>
    <cellStyle name="Millares 3 2 2" xfId="301"/>
    <cellStyle name="Millares 4" xfId="197"/>
    <cellStyle name="Millares 4 2" xfId="198"/>
    <cellStyle name="Millares 4 2 2" xfId="327"/>
    <cellStyle name="Millares 4 3" xfId="199"/>
    <cellStyle name="Millares 4 4" xfId="323"/>
    <cellStyle name="Millares 5" xfId="200"/>
    <cellStyle name="Millares 5 18" xfId="201"/>
    <cellStyle name="Millares 5 2" xfId="3"/>
    <cellStyle name="Millares 5 2 2" xfId="303"/>
    <cellStyle name="Millares 6" xfId="202"/>
    <cellStyle name="Millares 6 2" xfId="328"/>
    <cellStyle name="Millares 7" xfId="203"/>
    <cellStyle name="Millares 8" xfId="293"/>
    <cellStyle name="Moneda 2" xfId="204"/>
    <cellStyle name="Moneda 2 2" xfId="205"/>
    <cellStyle name="Moneda 3" xfId="206"/>
    <cellStyle name="Moneda 3 2" xfId="300"/>
    <cellStyle name="Moneda 4" xfId="207"/>
    <cellStyle name="Neutral 2" xfId="208"/>
    <cellStyle name="Neutral 2 2" xfId="313"/>
    <cellStyle name="Neutral 3" xfId="209"/>
    <cellStyle name="Neutral 4" xfId="312"/>
    <cellStyle name="Normal" xfId="0" builtinId="0"/>
    <cellStyle name="Normal 10" xfId="210"/>
    <cellStyle name="Normal 10 2" xfId="324"/>
    <cellStyle name="Normal 11" xfId="211"/>
    <cellStyle name="Normal 11 2" xfId="329"/>
    <cellStyle name="Normal 12" xfId="212"/>
    <cellStyle name="Normal 13" xfId="294"/>
    <cellStyle name="Normal 14" xfId="295"/>
    <cellStyle name="Normal 15" xfId="299"/>
    <cellStyle name="Normal 16" xfId="305"/>
    <cellStyle name="Normal 194" xfId="213"/>
    <cellStyle name="Normal 2" xfId="214"/>
    <cellStyle name="Normal 2 2" xfId="215"/>
    <cellStyle name="Normal 2 2 2" xfId="315"/>
    <cellStyle name="Normal 2 3" xfId="216"/>
    <cellStyle name="Normal 2 3 2" xfId="217"/>
    <cellStyle name="Normal 2 4" xfId="218"/>
    <cellStyle name="Normal 2 5" xfId="314"/>
    <cellStyle name="Normal 2_03-13 HSBC LEASING, S.A." xfId="219"/>
    <cellStyle name="Normal 3" xfId="220"/>
    <cellStyle name="Normal 3 2" xfId="221"/>
    <cellStyle name="Normal 3 3" xfId="222"/>
    <cellStyle name="Normal 4" xfId="223"/>
    <cellStyle name="Normal 4 2" xfId="224"/>
    <cellStyle name="Normal 5" xfId="225"/>
    <cellStyle name="Normal 5 2" xfId="226"/>
    <cellStyle name="Normal 6" xfId="227"/>
    <cellStyle name="Normal 6 2" xfId="228"/>
    <cellStyle name="Normal 6 2 2" xfId="330"/>
    <cellStyle name="Normal 7" xfId="229"/>
    <cellStyle name="Normal 7 2" xfId="230"/>
    <cellStyle name="Normal 8" xfId="231"/>
    <cellStyle name="Normal 8 2" xfId="232"/>
    <cellStyle name="Normal 9" xfId="233"/>
    <cellStyle name="Normal 9 2" xfId="322"/>
    <cellStyle name="Normal_Con300600BDI" xfId="234"/>
    <cellStyle name="Normal_CONSEPT20012" xfId="235"/>
    <cellStyle name="Normal_FORMATO DE INFORMES PBI JUN 07-AUDITADOS KPMG" xfId="236"/>
    <cellStyle name="Normal_Libro2_CONSOLIDADO VAN DYKE Y SUBSIDIARIA NOVIEMBRE 06" xfId="237"/>
    <cellStyle name="Normal_Otros Gastos-27" xfId="296"/>
    <cellStyle name="Notas 2" xfId="238"/>
    <cellStyle name="Notas 3" xfId="239"/>
    <cellStyle name="Notas 3 2" xfId="240"/>
    <cellStyle name="Notas 4" xfId="241"/>
    <cellStyle name="Note" xfId="297"/>
    <cellStyle name="Note 2" xfId="242"/>
    <cellStyle name="Output" xfId="243"/>
    <cellStyle name="Output 2" xfId="244"/>
    <cellStyle name="Percent 2" xfId="245"/>
    <cellStyle name="Percent 2 2" xfId="246"/>
    <cellStyle name="Percent 2 2 2" xfId="247"/>
    <cellStyle name="Percent 2 3" xfId="248"/>
    <cellStyle name="Percent 3" xfId="249"/>
    <cellStyle name="Porcentaje" xfId="2" builtinId="5"/>
    <cellStyle name="Porcentaje 2" xfId="250"/>
    <cellStyle name="Porcentaje 3" xfId="331"/>
    <cellStyle name="Porcentual 2" xfId="251"/>
    <cellStyle name="Porcentual 2 2" xfId="252"/>
    <cellStyle name="RETURN No." xfId="253"/>
    <cellStyle name="Salida 2" xfId="254"/>
    <cellStyle name="Salida 3" xfId="255"/>
    <cellStyle name="SAR heading" xfId="256"/>
    <cellStyle name="SAR sub-heading" xfId="257"/>
    <cellStyle name="Schedule" xfId="258"/>
    <cellStyle name="Schedule 2" xfId="259"/>
    <cellStyle name="ScheduleTitle" xfId="260"/>
    <cellStyle name="Style 1" xfId="261"/>
    <cellStyle name="Style 1 2" xfId="262"/>
    <cellStyle name="Sub_total_desc" xfId="263"/>
    <cellStyle name="Subsubtitle" xfId="264"/>
    <cellStyle name="Subtitle" xfId="265"/>
    <cellStyle name="SubtotalNum" xfId="266"/>
    <cellStyle name="SubtotalNum 2" xfId="267"/>
    <cellStyle name="Texto de advertencia 2" xfId="268"/>
    <cellStyle name="Texto de advertencia 3" xfId="316"/>
    <cellStyle name="Texto explicativo 2" xfId="269"/>
    <cellStyle name="Texto explicativo 3" xfId="317"/>
    <cellStyle name="Title" xfId="270"/>
    <cellStyle name="Title 2" xfId="271"/>
    <cellStyle name="Title 3" xfId="272"/>
    <cellStyle name="Título 1 2" xfId="273"/>
    <cellStyle name="Título 1 3" xfId="274"/>
    <cellStyle name="Título 2 2" xfId="275"/>
    <cellStyle name="Título 2 3" xfId="276"/>
    <cellStyle name="Título 3 2" xfId="277"/>
    <cellStyle name="Título 3 3" xfId="278"/>
    <cellStyle name="Título 4" xfId="279"/>
    <cellStyle name="Título 4 2" xfId="319"/>
    <cellStyle name="Título 5" xfId="280"/>
    <cellStyle name="Título 6" xfId="318"/>
    <cellStyle name="Total 2" xfId="281"/>
    <cellStyle name="Total 2 2" xfId="321"/>
    <cellStyle name="Total 3" xfId="282"/>
    <cellStyle name="Total 4" xfId="320"/>
    <cellStyle name="TotalNum" xfId="283"/>
    <cellStyle name="Warning Text" xfId="298"/>
    <cellStyle name="Warning Text 2" xfId="284"/>
    <cellStyle name="Xref" xfId="285"/>
  </cellStyles>
  <dxfs count="1"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550334</xdr:colOff>
      <xdr:row>7</xdr:row>
      <xdr:rowOff>127001</xdr:rowOff>
    </xdr:from>
    <xdr:to>
      <xdr:col>25</xdr:col>
      <xdr:colOff>423334</xdr:colOff>
      <xdr:row>35</xdr:row>
      <xdr:rowOff>158751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1" y="1449918"/>
          <a:ext cx="7874000" cy="3164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219076</xdr:colOff>
      <xdr:row>4</xdr:row>
      <xdr:rowOff>19050</xdr:rowOff>
    </xdr:from>
    <xdr:to>
      <xdr:col>18</xdr:col>
      <xdr:colOff>85726</xdr:colOff>
      <xdr:row>41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1" y="742950"/>
          <a:ext cx="47434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6</xdr:col>
      <xdr:colOff>1832120</xdr:colOff>
      <xdr:row>181</xdr:row>
      <xdr:rowOff>53585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07647"/>
          <a:ext cx="9295238" cy="61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66674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mv\Portafolio%202007\Port.consol%20Panama%202007\Portafolio%20Consolidado%200807%20prue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%20Planeacion\2006\Informaci&#243;n%20Gerencial\Modelos\Modelo%20Medios%20de%20Pago\Abril%20MP\Balance%20Base%20Medios%20de%20Pa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Reportes%20Locales%20&amp;%20Casa%20Matriz\EEFF%20Cons%20&amp;%20Subs%20Locales\2017\06-%20Jun17\COMPA&#209;IAS\C000%20Consolidado%20Valores%20Banistmo,%20S.%20A.%20jun17%20Estado%20Financier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Reportes%20Locales%20&amp;%20Casa%20Matriz\EEFF%20Cons%20&amp;%20Subs%20Locales\2016\12-Dic16\DIVERSOS\EF%20INTERINO%20-%20SUBSIDIARIAS\VALORES%20BANISTMO\C000%20Valores%20Banistmo%20S.%20A.%20dic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DE%20CONTABILIDAD_NE/Contabilidad%20Bco%20&amp;%20Subs/2017/12%20DICIEMBRE%202017/SUBSIDIARIAS/VALORES%20Banistmo,%20S.A%20y%20subsidiarias/Copia%20de%20C000%20Valores%20Banistmo%20S.A.%20y%20Subsidiarias%20dic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CONSOLIDADAS/C000%20Valores%20Mar18%20Mov%20Inv%20negoci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RELACION DE SALDO BCMG"/>
      <sheetName val="BPRUEBA BCMG"/>
      <sheetName val="RELACION DE SALDO BAM"/>
      <sheetName val="BPRUEBA BAM"/>
      <sheetName val="RELACION DE SALDOS VAL BANIST"/>
      <sheetName val="BPRUEBA VAL BANIST"/>
      <sheetName val="RELACION DE SALDO SUVALOR"/>
      <sheetName val="BPRUEBA SUVALOR"/>
      <sheetName val="S.R.F.I.C.P."/>
      <sheetName val="S.R.F.I.L.P"/>
      <sheetName val="CONSOLIDADO"/>
      <sheetName val="Fondo de Capital"/>
      <sheetName val="Anexo-1"/>
      <sheetName val="Anexo 2"/>
      <sheetName val="Anexo 6"/>
      <sheetName val="Anexo-3"/>
      <sheetName val="Anexo-8"/>
      <sheetName val="Anexo-10"/>
      <sheetName val="Anexo-22"/>
      <sheetName val="Anexo-24"/>
      <sheetName val="Anexo-25"/>
      <sheetName val="Anexo-26"/>
      <sheetName val="Anexo-27"/>
      <sheetName val="Anexo-37"/>
      <sheetName val="Anexo-31"/>
      <sheetName val="Ubicación Geógrafica"/>
      <sheetName val="Vencto. de activos y pasivos"/>
      <sheetName val="Eliminaciones"/>
      <sheetName val="ddaintra@"/>
    </sheetNames>
    <sheetDataSet>
      <sheetData sheetId="0">
        <row r="12">
          <cell r="A12" t="str">
            <v>CONSOLIDADO VALORES BANISTMO, S. A. Y SUBSIDIARIAS</v>
          </cell>
        </row>
      </sheetData>
      <sheetData sheetId="1"/>
      <sheetData sheetId="2"/>
      <sheetData sheetId="3"/>
      <sheetData sheetId="4">
        <row r="5">
          <cell r="A5" t="str">
            <v>3001020100000001611030110</v>
          </cell>
        </row>
      </sheetData>
      <sheetData sheetId="5"/>
      <sheetData sheetId="6">
        <row r="1">
          <cell r="A1" t="str">
            <v>VALORES BANISTMO, S.A.</v>
          </cell>
        </row>
        <row r="23">
          <cell r="E23">
            <v>16195.21</v>
          </cell>
        </row>
        <row r="24">
          <cell r="E24">
            <v>34189.410000000003</v>
          </cell>
        </row>
      </sheetData>
      <sheetData sheetId="7"/>
      <sheetData sheetId="8"/>
      <sheetData sheetId="9"/>
      <sheetData sheetId="10"/>
      <sheetData sheetId="11">
        <row r="37">
          <cell r="I37">
            <v>21.18</v>
          </cell>
        </row>
      </sheetData>
      <sheetData sheetId="12"/>
      <sheetData sheetId="13"/>
      <sheetData sheetId="14"/>
      <sheetData sheetId="15"/>
      <sheetData sheetId="16"/>
      <sheetData sheetId="17">
        <row r="4">
          <cell r="A4">
            <v>42916</v>
          </cell>
        </row>
      </sheetData>
      <sheetData sheetId="18"/>
      <sheetData sheetId="19">
        <row r="6">
          <cell r="C6">
            <v>42916</v>
          </cell>
        </row>
      </sheetData>
      <sheetData sheetId="20">
        <row r="5">
          <cell r="C5">
            <v>42916</v>
          </cell>
        </row>
      </sheetData>
      <sheetData sheetId="21"/>
      <sheetData sheetId="22">
        <row r="5">
          <cell r="C5">
            <v>42916</v>
          </cell>
        </row>
      </sheetData>
      <sheetData sheetId="23">
        <row r="1">
          <cell r="A1" t="str">
            <v>CONSOLIDADO VALORES BANISTMO, S. A. Y SUBSIDIARIAS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Situación"/>
      <sheetName val="Estado de Resultados"/>
      <sheetName val="Estado ganancias o pérdidas"/>
      <sheetName val="Patrimonio"/>
      <sheetName val="Fondo capital"/>
      <sheetName val="Notas"/>
      <sheetName val="Flujo de EfectivoJM"/>
      <sheetName val="Flujo deEfectivo"/>
      <sheetName val="Papel Trabajo flujo Efectivo"/>
      <sheetName val="Consolidado"/>
      <sheetName val="BPPRUEBABAM"/>
      <sheetName val="BPRUEBABCMG"/>
      <sheetName val="BPRUEBAVB"/>
      <sheetName val="Balance Securities Fusión"/>
      <sheetName val="Nota 3.8"/>
      <sheetName val="Nota 4.3"/>
      <sheetName val="Nota 4.4"/>
      <sheetName val="Nota 6 y 9"/>
      <sheetName val="Nota 7"/>
      <sheetName val="Nota 8"/>
      <sheetName val="Nota 9"/>
      <sheetName val="Nota 11"/>
      <sheetName val="Nota 12"/>
      <sheetName val="Nota 13"/>
      <sheetName val="Nota 14"/>
      <sheetName val="Nota 15."/>
      <sheetName val="Nota 15"/>
      <sheetName val="Nota 17"/>
      <sheetName val="Nota 18"/>
      <sheetName val="Nota 20"/>
      <sheetName val="Nota 21"/>
      <sheetName val="Nota 24"/>
      <sheetName val="Nota 24 s.c."/>
      <sheetName val="Nota 24 c.l."/>
      <sheetName val="Nota 24 f.c."/>
      <sheetName val="Nota 24 r.s."/>
      <sheetName val="Nota 25."/>
      <sheetName val="Nota 25"/>
      <sheetName val="Nota 25.1"/>
      <sheetName val="Nota 26"/>
      <sheetName val="Pivot VB Dic15"/>
      <sheetName val="Nota 19"/>
      <sheetName val="Ganancia(pérdida) derivados"/>
      <sheetName val="Flujo Efectivo 14.10.2016"/>
      <sheetName val="Nota Fusión Securities-Valores "/>
      <sheetName val="anexo 2"/>
      <sheetName val="SUSTENTO"/>
      <sheetName val="Relacion Saldo VB Oct16"/>
      <sheetName val="CALIF"/>
      <sheetName val="Data Valores Bancolombia Dic15"/>
      <sheetName val="Aux. activo fij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E19">
            <v>6767.3600000000006</v>
          </cell>
        </row>
        <row r="20">
          <cell r="E20">
            <v>1057.5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financiera"/>
      <sheetName val="Estado ganancias o pérdidas"/>
      <sheetName val="Patrimonio"/>
      <sheetName val="Flujo de efectivo"/>
      <sheetName val="HT flujo efectivo"/>
      <sheetName val="RESULTADO (2)"/>
      <sheetName val="Consolidado"/>
      <sheetName val="Anexo-22"/>
      <sheetName val="Anexo 37"/>
      <sheetName val="Anexo 27"/>
      <sheetName val="Hoja1"/>
      <sheetName val="mayor jun2016"/>
      <sheetName val="compras y ventas"/>
      <sheetName val="MOV.INVER"/>
    </sheetNames>
    <sheetDataSet>
      <sheetData sheetId="0"/>
      <sheetData sheetId="1"/>
      <sheetData sheetId="2"/>
      <sheetData sheetId="3"/>
      <sheetData sheetId="4">
        <row r="67">
          <cell r="B67">
            <v>163123.02000000002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Detalle INV"/>
      <sheetName val="MOV."/>
      <sheetName val="PORT."/>
    </sheetNames>
    <sheetDataSet>
      <sheetData sheetId="0" refreshError="1"/>
      <sheetData sheetId="1">
        <row r="181">
          <cell r="N181">
            <v>11974000</v>
          </cell>
        </row>
      </sheetData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UARIOS\VISITACION\Informes\Banistmo\Estados%20financieros\2017\Valores%20Banistmo%202017\NOTAS%20CONSOLIDADAS\MOVIMIENTOS%20DE%20CUENTAS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ENRIQUE MORENO POLANCO" refreshedDate="43113.608671064816" createdVersion="4" refreshedVersion="4" minRefreshableVersion="3" recordCount="703">
  <cacheSource type="worksheet">
    <worksheetSource ref="A1:R704" sheet="total" r:id="rId2"/>
  </cacheSource>
  <cacheFields count="18">
    <cacheField name="Institucion" numFmtId="0">
      <sharedItems/>
    </cacheField>
    <cacheField name="Empresa" numFmtId="0">
      <sharedItems/>
    </cacheField>
    <cacheField name="Pais" numFmtId="0">
      <sharedItems/>
    </cacheField>
    <cacheField name="region" numFmtId="0">
      <sharedItems/>
    </cacheField>
    <cacheField name="plaza" numFmtId="0">
      <sharedItems/>
    </cacheField>
    <cacheField name="localidad" numFmtId="0">
      <sharedItems/>
    </cacheField>
    <cacheField name="coordinada" numFmtId="0">
      <sharedItems/>
    </cacheField>
    <cacheField name="area origen" numFmtId="0">
      <sharedItems/>
    </cacheField>
    <cacheField name="fecha mov" numFmtId="0">
      <sharedItems/>
    </cacheField>
    <cacheField name="moneda" numFmtId="0">
      <sharedItems/>
    </cacheField>
    <cacheField name="mercado" numFmtId="0">
      <sharedItems/>
    </cacheField>
    <cacheField name="fecha oper" numFmtId="0">
      <sharedItems/>
    </cacheField>
    <cacheField name="cta madre" numFmtId="0">
      <sharedItems/>
    </cacheField>
    <cacheField name="Tipo Mov" numFmtId="0">
      <sharedItems count="2">
        <s v="1"/>
        <s v="0"/>
      </sharedItems>
    </cacheField>
    <cacheField name="N1" numFmtId="0">
      <sharedItems/>
    </cacheField>
    <cacheField name="Importe" numFmtId="43">
      <sharedItems containsSemiMixedTypes="0" containsString="0" containsNumber="1" containsInteger="1" minValue="27" maxValue="400000000"/>
    </cacheField>
    <cacheField name="Importe real" numFmtId="43">
      <sharedItems containsString="0" containsBlank="1" containsNumber="1" minValue="-3799347.4" maxValue="4000000"/>
    </cacheField>
    <cacheField name="mes" numFmtId="0">
      <sharedItems count="13">
        <s v="201701"/>
        <s v="201702"/>
        <s v="reversión"/>
        <s v="201703"/>
        <s v="201704"/>
        <s v="201705"/>
        <s v="201706"/>
        <s v="201707"/>
        <s v="201708"/>
        <s v="201709"/>
        <s v="201710"/>
        <s v="201711"/>
        <s v="2017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">
  <r>
    <s v="24"/>
    <s v="052"/>
    <s v="0024"/>
    <s v="55"/>
    <s v="55"/>
    <s v="00000000"/>
    <s v="000000"/>
    <s v="05023"/>
    <s v="20170103"/>
    <s v="0001"/>
    <s v="0"/>
    <s v="20170103"/>
    <s v="10120101020100"/>
    <x v="0"/>
    <s v="0"/>
    <n v="125205"/>
    <m/>
    <x v="0"/>
  </r>
  <r>
    <s v="24"/>
    <s v="052"/>
    <s v="0024"/>
    <s v="55"/>
    <s v="55"/>
    <s v="00000000"/>
    <s v="000000"/>
    <s v="05023"/>
    <s v="20170104"/>
    <s v="0001"/>
    <s v="0"/>
    <s v="20170104"/>
    <s v="10120101020100"/>
    <x v="0"/>
    <s v="0"/>
    <n v="108187"/>
    <n v="-1081.8699999999999"/>
    <x v="0"/>
  </r>
  <r>
    <s v="24"/>
    <s v="052"/>
    <s v="0024"/>
    <s v="55"/>
    <s v="55"/>
    <s v="00000000"/>
    <s v="000000"/>
    <s v="05023"/>
    <s v="20170105"/>
    <s v="0001"/>
    <s v="0"/>
    <s v="20170105"/>
    <s v="10120101020100"/>
    <x v="1"/>
    <s v="0"/>
    <n v="92026"/>
    <n v="920.26"/>
    <x v="0"/>
  </r>
  <r>
    <s v="24"/>
    <s v="052"/>
    <s v="0024"/>
    <s v="55"/>
    <s v="55"/>
    <s v="00000000"/>
    <s v="000000"/>
    <s v="05023"/>
    <s v="20170106"/>
    <s v="0001"/>
    <s v="0"/>
    <s v="20170106"/>
    <s v="10120101020100"/>
    <x v="0"/>
    <s v="0"/>
    <n v="168078"/>
    <n v="-1680.78"/>
    <x v="0"/>
  </r>
  <r>
    <s v="24"/>
    <s v="052"/>
    <s v="0024"/>
    <s v="55"/>
    <s v="55"/>
    <s v="00000000"/>
    <s v="000000"/>
    <s v="05023"/>
    <s v="20170110"/>
    <s v="0001"/>
    <s v="0"/>
    <s v="20170110"/>
    <s v="10120101020100"/>
    <x v="1"/>
    <s v="0"/>
    <n v="38974"/>
    <n v="389.74"/>
    <x v="0"/>
  </r>
  <r>
    <s v="24"/>
    <s v="052"/>
    <s v="0024"/>
    <s v="55"/>
    <s v="55"/>
    <s v="00000000"/>
    <s v="000000"/>
    <s v="05023"/>
    <s v="20170111"/>
    <s v="0001"/>
    <s v="0"/>
    <s v="20170111"/>
    <s v="10120101020100"/>
    <x v="1"/>
    <s v="0"/>
    <n v="130974"/>
    <n v="1309.74"/>
    <x v="0"/>
  </r>
  <r>
    <s v="24"/>
    <s v="052"/>
    <s v="0024"/>
    <s v="55"/>
    <s v="55"/>
    <s v="00000000"/>
    <s v="000000"/>
    <s v="05023"/>
    <s v="20170112"/>
    <s v="0001"/>
    <s v="0"/>
    <s v="20170112"/>
    <s v="10120101020100"/>
    <x v="1"/>
    <s v="0"/>
    <n v="229730"/>
    <n v="2297.3000000000002"/>
    <x v="0"/>
  </r>
  <r>
    <s v="24"/>
    <s v="052"/>
    <s v="0024"/>
    <s v="55"/>
    <s v="55"/>
    <s v="00000000"/>
    <s v="000000"/>
    <s v="05023"/>
    <s v="20170113"/>
    <s v="0001"/>
    <s v="0"/>
    <s v="20170113"/>
    <s v="10120101020100"/>
    <x v="1"/>
    <s v="0"/>
    <n v="23008"/>
    <n v="230.08"/>
    <x v="0"/>
  </r>
  <r>
    <s v="24"/>
    <s v="052"/>
    <s v="0024"/>
    <s v="55"/>
    <s v="55"/>
    <s v="00000000"/>
    <s v="000000"/>
    <s v="05023"/>
    <s v="20170116"/>
    <s v="0001"/>
    <s v="0"/>
    <s v="20170116"/>
    <s v="10120101020100"/>
    <x v="0"/>
    <s v="0"/>
    <n v="115060"/>
    <n v="-1150.5999999999999"/>
    <x v="0"/>
  </r>
  <r>
    <s v="24"/>
    <s v="052"/>
    <s v="0024"/>
    <s v="55"/>
    <s v="55"/>
    <s v="00000000"/>
    <s v="000000"/>
    <s v="05023"/>
    <s v="20170117"/>
    <s v="0001"/>
    <s v="0"/>
    <s v="20170117"/>
    <s v="10120101020100"/>
    <x v="1"/>
    <s v="0"/>
    <n v="186474"/>
    <n v="1864.74"/>
    <x v="0"/>
  </r>
  <r>
    <s v="24"/>
    <s v="052"/>
    <s v="0024"/>
    <s v="55"/>
    <s v="55"/>
    <s v="00000000"/>
    <s v="000000"/>
    <s v="05023"/>
    <s v="20170118"/>
    <s v="0001"/>
    <s v="0"/>
    <s v="20170118"/>
    <s v="10120101020100"/>
    <x v="0"/>
    <s v="0"/>
    <n v="190492"/>
    <n v="-1904.92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1"/>
    <s v="0"/>
    <n v="34"/>
    <n v="0.34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0"/>
    <s v="0"/>
    <n v="96049"/>
    <n v="-960.49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1"/>
    <s v="0"/>
    <n v="99475"/>
    <n v="994.75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0"/>
    <s v="0"/>
    <n v="68"/>
    <n v="-0.68"/>
    <x v="0"/>
  </r>
  <r>
    <s v="24"/>
    <s v="052"/>
    <s v="0024"/>
    <s v="55"/>
    <s v="55"/>
    <s v="00000000"/>
    <s v="000000"/>
    <s v="05023"/>
    <s v="20170123"/>
    <s v="0001"/>
    <s v="0"/>
    <s v="20170123"/>
    <s v="10120101020100"/>
    <x v="0"/>
    <s v="0"/>
    <n v="51526"/>
    <n v="-515.26"/>
    <x v="0"/>
  </r>
  <r>
    <s v="24"/>
    <s v="052"/>
    <s v="0024"/>
    <s v="55"/>
    <s v="55"/>
    <s v="00000000"/>
    <s v="000000"/>
    <s v="05023"/>
    <s v="20170124"/>
    <s v="0001"/>
    <s v="0"/>
    <s v="20170124"/>
    <s v="10120101020100"/>
    <x v="1"/>
    <s v="0"/>
    <n v="99423"/>
    <n v="994.23"/>
    <x v="0"/>
  </r>
  <r>
    <s v="24"/>
    <s v="052"/>
    <s v="0024"/>
    <s v="55"/>
    <s v="55"/>
    <s v="00000000"/>
    <s v="000000"/>
    <s v="05023"/>
    <s v="20170125"/>
    <s v="0001"/>
    <s v="0"/>
    <s v="20170125"/>
    <s v="10120101020100"/>
    <x v="1"/>
    <s v="0"/>
    <n v="80975"/>
    <n v="809.75"/>
    <x v="0"/>
  </r>
  <r>
    <s v="24"/>
    <s v="052"/>
    <s v="0024"/>
    <s v="55"/>
    <s v="55"/>
    <s v="00000000"/>
    <s v="000000"/>
    <s v="05023"/>
    <s v="20170126"/>
    <s v="0001"/>
    <s v="0"/>
    <s v="20170126"/>
    <s v="10120101020100"/>
    <x v="0"/>
    <s v="0"/>
    <n v="109526"/>
    <n v="-1095.26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196474"/>
    <n v="1964.74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112025"/>
    <n v="-1120.25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300000000"/>
    <n v="3000000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200000000"/>
    <n v="-2000000"/>
    <x v="0"/>
  </r>
  <r>
    <s v="24"/>
    <s v="052"/>
    <s v="0024"/>
    <s v="55"/>
    <s v="55"/>
    <s v="00000000"/>
    <s v="000000"/>
    <s v="05023"/>
    <s v="20170202"/>
    <s v="0001"/>
    <s v="0"/>
    <s v="20170202"/>
    <s v="10120101020100"/>
    <x v="1"/>
    <s v="0"/>
    <n v="347016"/>
    <n v="3470.16"/>
    <x v="1"/>
  </r>
  <r>
    <s v="24"/>
    <s v="052"/>
    <s v="0024"/>
    <s v="55"/>
    <s v="55"/>
    <s v="00000000"/>
    <s v="000000"/>
    <s v="05023"/>
    <s v="20170202"/>
    <s v="0001"/>
    <s v="0"/>
    <s v="20170202"/>
    <s v="10120101020100"/>
    <x v="0"/>
    <s v="0"/>
    <n v="312384"/>
    <n v="-3123.84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1"/>
    <s v="0"/>
    <n v="160946"/>
    <n v="1609.46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0"/>
    <s v="0"/>
    <n v="363688"/>
    <n v="-3636.88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206616"/>
    <n v="2066.16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32"/>
    <n v="0.32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88116"/>
    <n v="881.16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27348"/>
    <n v="273.48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0"/>
    <s v="0"/>
    <n v="9849371"/>
    <n v="0"/>
    <x v="2"/>
  </r>
  <r>
    <s v="24"/>
    <s v="052"/>
    <s v="0024"/>
    <s v="55"/>
    <s v="55"/>
    <s v="00000000"/>
    <s v="000000"/>
    <s v="05023"/>
    <s v="20170210"/>
    <s v="0001"/>
    <s v="0"/>
    <s v="20170210"/>
    <s v="10120101020100"/>
    <x v="1"/>
    <s v="0"/>
    <n v="113615"/>
    <n v="1136.1500000000001"/>
    <x v="1"/>
  </r>
  <r>
    <s v="24"/>
    <s v="052"/>
    <s v="0024"/>
    <s v="55"/>
    <s v="55"/>
    <s v="00000000"/>
    <s v="000000"/>
    <s v="05023"/>
    <s v="20170213"/>
    <s v="0001"/>
    <s v="0"/>
    <s v="20170213"/>
    <s v="10120101020100"/>
    <x v="0"/>
    <s v="0"/>
    <n v="4384"/>
    <n v="-43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9884"/>
    <n v="-98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1"/>
    <s v="0"/>
    <n v="9849371"/>
    <n v="0"/>
    <x v="2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107384"/>
    <n v="-1073.8399999999999"/>
    <x v="1"/>
  </r>
  <r>
    <s v="24"/>
    <s v="052"/>
    <s v="0024"/>
    <s v="55"/>
    <s v="55"/>
    <s v="00000000"/>
    <s v="000000"/>
    <s v="05023"/>
    <s v="20170220"/>
    <s v="0001"/>
    <s v="0"/>
    <s v="20170220"/>
    <s v="10120101020100"/>
    <x v="1"/>
    <s v="0"/>
    <n v="233581"/>
    <n v="2335.81"/>
    <x v="1"/>
  </r>
  <r>
    <s v="24"/>
    <s v="052"/>
    <s v="0024"/>
    <s v="55"/>
    <s v="55"/>
    <s v="00000000"/>
    <s v="000000"/>
    <s v="05023"/>
    <s v="20170221"/>
    <s v="0001"/>
    <s v="0"/>
    <s v="20170221"/>
    <s v="10120101020100"/>
    <x v="1"/>
    <s v="0"/>
    <n v="81963"/>
    <n v="819.63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1"/>
    <s v="0"/>
    <n v="224617"/>
    <n v="2246.17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0"/>
    <s v="0"/>
    <n v="415884"/>
    <n v="-4158.84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1"/>
    <s v="0"/>
    <n v="59632"/>
    <n v="596.32000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0"/>
    <s v="0"/>
    <n v="49309395"/>
    <n v="-493093.95"/>
    <x v="1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41165"/>
    <n v="411.65"/>
    <x v="3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62691"/>
    <n v="626.91"/>
    <x v="3"/>
  </r>
  <r>
    <s v="24"/>
    <s v="052"/>
    <s v="0024"/>
    <s v="55"/>
    <s v="55"/>
    <s v="00000000"/>
    <s v="000000"/>
    <s v="05023"/>
    <s v="20170303"/>
    <s v="0001"/>
    <s v="0"/>
    <s v="20170303"/>
    <s v="10120101020100"/>
    <x v="0"/>
    <s v="0"/>
    <n v="61760"/>
    <n v="-617.6"/>
    <x v="3"/>
  </r>
  <r>
    <s v="24"/>
    <s v="052"/>
    <s v="0024"/>
    <s v="55"/>
    <s v="55"/>
    <s v="00000000"/>
    <s v="000000"/>
    <s v="05023"/>
    <s v="20170306"/>
    <s v="0001"/>
    <s v="0"/>
    <s v="20170306"/>
    <s v="10120101020100"/>
    <x v="1"/>
    <s v="0"/>
    <n v="184192"/>
    <n v="1841.92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136039"/>
    <n v="1360.39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105307"/>
    <n v="-1053.07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54461"/>
    <n v="-544.61"/>
    <x v="3"/>
  </r>
  <r>
    <s v="24"/>
    <s v="052"/>
    <s v="0024"/>
    <s v="55"/>
    <s v="55"/>
    <s v="00000000"/>
    <s v="000000"/>
    <s v="05023"/>
    <s v="20170313"/>
    <s v="0001"/>
    <s v="0"/>
    <s v="20170313"/>
    <s v="10120101020100"/>
    <x v="0"/>
    <s v="0"/>
    <n v="46307"/>
    <n v="-463.07"/>
    <x v="3"/>
  </r>
  <r>
    <s v="24"/>
    <s v="052"/>
    <s v="0024"/>
    <s v="55"/>
    <s v="55"/>
    <s v="00000000"/>
    <s v="000000"/>
    <s v="05023"/>
    <s v="20170314"/>
    <s v="0001"/>
    <s v="0"/>
    <s v="20170314"/>
    <s v="10120101020100"/>
    <x v="1"/>
    <s v="0"/>
    <n v="27192"/>
    <n v="271.92"/>
    <x v="3"/>
  </r>
  <r>
    <s v="24"/>
    <s v="052"/>
    <s v="0024"/>
    <s v="55"/>
    <s v="55"/>
    <s v="00000000"/>
    <s v="000000"/>
    <s v="05023"/>
    <s v="20170315"/>
    <s v="0001"/>
    <s v="0"/>
    <s v="20170315"/>
    <s v="10120101020100"/>
    <x v="0"/>
    <s v="0"/>
    <n v="107807"/>
    <n v="-1078.07"/>
    <x v="3"/>
  </r>
  <r>
    <s v="24"/>
    <s v="052"/>
    <s v="0024"/>
    <s v="55"/>
    <s v="55"/>
    <s v="00000000"/>
    <s v="000000"/>
    <s v="05023"/>
    <s v="20170316"/>
    <s v="0001"/>
    <s v="0"/>
    <s v="20170316"/>
    <s v="10120101020100"/>
    <x v="1"/>
    <s v="0"/>
    <n v="49692"/>
    <n v="496.92"/>
    <x v="3"/>
  </r>
  <r>
    <s v="24"/>
    <s v="052"/>
    <s v="0024"/>
    <s v="55"/>
    <s v="55"/>
    <s v="00000000"/>
    <s v="000000"/>
    <s v="05023"/>
    <s v="20170317"/>
    <s v="0001"/>
    <s v="0"/>
    <s v="20170317"/>
    <s v="10120101020100"/>
    <x v="1"/>
    <s v="0"/>
    <n v="72693"/>
    <n v="726.93"/>
    <x v="3"/>
  </r>
  <r>
    <s v="24"/>
    <s v="052"/>
    <s v="0024"/>
    <s v="55"/>
    <s v="55"/>
    <s v="00000000"/>
    <s v="000000"/>
    <s v="05023"/>
    <s v="20170320"/>
    <s v="0001"/>
    <s v="0"/>
    <s v="20170320"/>
    <s v="10120101020100"/>
    <x v="1"/>
    <s v="0"/>
    <n v="95692"/>
    <n v="956.92"/>
    <x v="3"/>
  </r>
  <r>
    <s v="24"/>
    <s v="052"/>
    <s v="0024"/>
    <s v="55"/>
    <s v="55"/>
    <s v="00000000"/>
    <s v="000000"/>
    <s v="05023"/>
    <s v="20170321"/>
    <s v="0001"/>
    <s v="0"/>
    <s v="20170321"/>
    <s v="10120101020100"/>
    <x v="0"/>
    <s v="0"/>
    <n v="181308"/>
    <n v="-1813.08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1"/>
    <s v="0"/>
    <n v="214192"/>
    <n v="2141.92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0"/>
    <s v="0"/>
    <n v="57078"/>
    <n v="-570.78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1"/>
    <s v="0"/>
    <n v="114156"/>
    <n v="1141.56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0"/>
    <s v="0"/>
    <n v="163308"/>
    <n v="-1633.08"/>
    <x v="3"/>
  </r>
  <r>
    <s v="24"/>
    <s v="052"/>
    <s v="0024"/>
    <s v="55"/>
    <s v="55"/>
    <s v="00000000"/>
    <s v="000000"/>
    <s v="05023"/>
    <s v="20170327"/>
    <s v="0001"/>
    <s v="0"/>
    <s v="20170327"/>
    <s v="10120101020100"/>
    <x v="0"/>
    <s v="0"/>
    <n v="138308"/>
    <n v="-1383.08"/>
    <x v="3"/>
  </r>
  <r>
    <s v="24"/>
    <s v="052"/>
    <s v="0024"/>
    <s v="55"/>
    <s v="55"/>
    <s v="00000000"/>
    <s v="000000"/>
    <s v="05023"/>
    <s v="20170328"/>
    <s v="0001"/>
    <s v="0"/>
    <s v="20170328"/>
    <s v="10120101020100"/>
    <x v="1"/>
    <s v="0"/>
    <n v="77725"/>
    <n v="777.25"/>
    <x v="3"/>
  </r>
  <r>
    <s v="24"/>
    <s v="052"/>
    <s v="0024"/>
    <s v="55"/>
    <s v="55"/>
    <s v="00000000"/>
    <s v="000000"/>
    <s v="05023"/>
    <s v="20170329"/>
    <s v="0001"/>
    <s v="0"/>
    <s v="20170329"/>
    <s v="10120101020100"/>
    <x v="1"/>
    <s v="0"/>
    <n v="209192"/>
    <n v="2091.92"/>
    <x v="3"/>
  </r>
  <r>
    <s v="24"/>
    <s v="052"/>
    <s v="0024"/>
    <s v="55"/>
    <s v="55"/>
    <s v="00000000"/>
    <s v="000000"/>
    <s v="05023"/>
    <s v="20170330"/>
    <s v="0001"/>
    <s v="0"/>
    <s v="20170330"/>
    <s v="10120101020100"/>
    <x v="1"/>
    <s v="0"/>
    <n v="87546"/>
    <n v="875.46"/>
    <x v="3"/>
  </r>
  <r>
    <s v="24"/>
    <s v="052"/>
    <s v="0024"/>
    <s v="55"/>
    <s v="55"/>
    <s v="00000000"/>
    <s v="000000"/>
    <s v="05023"/>
    <s v="20170331"/>
    <s v="0001"/>
    <s v="0"/>
    <s v="20170331"/>
    <s v="10120101020100"/>
    <x v="0"/>
    <s v="0"/>
    <n v="121808"/>
    <n v="-1218.08"/>
    <x v="3"/>
  </r>
  <r>
    <s v="24"/>
    <s v="052"/>
    <s v="0024"/>
    <s v="55"/>
    <s v="55"/>
    <s v="00000000"/>
    <s v="000000"/>
    <s v="05023"/>
    <s v="20170307"/>
    <s v="0001"/>
    <s v="0"/>
    <s v="20170307"/>
    <s v="10120101020100"/>
    <x v="1"/>
    <s v="0"/>
    <n v="5807"/>
    <n v="58.07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54461"/>
    <n v="544.61"/>
    <x v="3"/>
  </r>
  <r>
    <s v="24"/>
    <s v="052"/>
    <s v="0024"/>
    <s v="55"/>
    <s v="55"/>
    <s v="00000000"/>
    <s v="000000"/>
    <s v="05023"/>
    <s v="20170403"/>
    <s v="0001"/>
    <s v="0"/>
    <s v="20170403"/>
    <s v="10120101020100"/>
    <x v="1"/>
    <s v="0"/>
    <n v="169693"/>
    <n v="1696.93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1"/>
    <s v="0"/>
    <n v="50000000"/>
    <n v="500000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0"/>
    <s v="0"/>
    <n v="99808"/>
    <n v="-998.0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03868"/>
    <n v="1038.6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5000000"/>
    <m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0"/>
    <s v="0"/>
    <n v="50944"/>
    <n v="-509.44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1"/>
    <s v="0"/>
    <n v="332846"/>
    <n v="3328.46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5000000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00402824"/>
    <n v="-1004028.24"/>
    <x v="4"/>
  </r>
  <r>
    <s v="24"/>
    <s v="052"/>
    <s v="0024"/>
    <s v="55"/>
    <s v="55"/>
    <s v="00000000"/>
    <s v="000000"/>
    <s v="05023"/>
    <s v="20170407"/>
    <s v="0001"/>
    <s v="0"/>
    <s v="20170407"/>
    <s v="10120101020100"/>
    <x v="0"/>
    <s v="0"/>
    <n v="120621"/>
    <n v="-1206.21"/>
    <x v="4"/>
  </r>
  <r>
    <s v="24"/>
    <s v="052"/>
    <s v="0024"/>
    <s v="55"/>
    <s v="55"/>
    <s v="00000000"/>
    <s v="000000"/>
    <s v="05023"/>
    <s v="20170410"/>
    <s v="0001"/>
    <s v="0"/>
    <s v="20170410"/>
    <s v="10120101020100"/>
    <x v="1"/>
    <s v="0"/>
    <n v="80380"/>
    <n v="803.8"/>
    <x v="4"/>
  </r>
  <r>
    <s v="24"/>
    <s v="052"/>
    <s v="0024"/>
    <s v="55"/>
    <s v="55"/>
    <s v="00000000"/>
    <s v="000000"/>
    <s v="05023"/>
    <s v="20170412"/>
    <s v="0001"/>
    <s v="0"/>
    <s v="20170412"/>
    <s v="10120101020100"/>
    <x v="1"/>
    <s v="0"/>
    <n v="207820"/>
    <n v="2078.1999999999998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1"/>
    <s v="0"/>
    <n v="52880"/>
    <n v="528.79999999999995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0"/>
    <s v="0"/>
    <n v="15922"/>
    <n v="-159.22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1"/>
    <s v="0"/>
    <n v="80019"/>
    <n v="800.19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0"/>
    <s v="0"/>
    <n v="216120"/>
    <n v="-2161.1999999999998"/>
    <x v="4"/>
  </r>
  <r>
    <s v="24"/>
    <s v="052"/>
    <s v="0024"/>
    <s v="55"/>
    <s v="55"/>
    <s v="00000000"/>
    <s v="000000"/>
    <s v="05023"/>
    <s v="20170420"/>
    <s v="0001"/>
    <s v="0"/>
    <s v="20170420"/>
    <s v="10120101020100"/>
    <x v="1"/>
    <s v="0"/>
    <n v="145380"/>
    <n v="1453.8"/>
    <x v="4"/>
  </r>
  <r>
    <s v="24"/>
    <s v="052"/>
    <s v="0024"/>
    <s v="55"/>
    <s v="55"/>
    <s v="00000000"/>
    <s v="000000"/>
    <s v="05023"/>
    <s v="20170421"/>
    <s v="0001"/>
    <s v="0"/>
    <s v="20170421"/>
    <s v="10120101020100"/>
    <x v="1"/>
    <s v="0"/>
    <n v="33380"/>
    <n v="333.8"/>
    <x v="4"/>
  </r>
  <r>
    <s v="24"/>
    <s v="052"/>
    <s v="0024"/>
    <s v="55"/>
    <s v="55"/>
    <s v="00000000"/>
    <s v="000000"/>
    <s v="05023"/>
    <s v="20170424"/>
    <s v="0001"/>
    <s v="0"/>
    <s v="20170424"/>
    <s v="10120101020100"/>
    <x v="0"/>
    <s v="0"/>
    <n v="195620"/>
    <n v="-1956.2"/>
    <x v="4"/>
  </r>
  <r>
    <s v="24"/>
    <s v="052"/>
    <s v="0024"/>
    <s v="55"/>
    <s v="55"/>
    <s v="00000000"/>
    <s v="000000"/>
    <s v="05023"/>
    <s v="20170425"/>
    <s v="0001"/>
    <s v="0"/>
    <s v="20170425"/>
    <s v="10120101020100"/>
    <x v="1"/>
    <s v="0"/>
    <n v="209378"/>
    <n v="2093.7800000000002"/>
    <x v="4"/>
  </r>
  <r>
    <s v="24"/>
    <s v="052"/>
    <s v="0024"/>
    <s v="55"/>
    <s v="55"/>
    <s v="00000000"/>
    <s v="000000"/>
    <s v="05023"/>
    <s v="20170426"/>
    <s v="0001"/>
    <s v="0"/>
    <s v="20170426"/>
    <s v="10120101020100"/>
    <x v="1"/>
    <s v="0"/>
    <n v="116140"/>
    <n v="1161.4000000000001"/>
    <x v="4"/>
  </r>
  <r>
    <s v="24"/>
    <s v="052"/>
    <s v="0024"/>
    <s v="55"/>
    <s v="55"/>
    <s v="00000000"/>
    <s v="000000"/>
    <s v="05023"/>
    <s v="20170427"/>
    <s v="0001"/>
    <s v="0"/>
    <s v="20170427"/>
    <s v="10120101020100"/>
    <x v="0"/>
    <s v="0"/>
    <n v="88620"/>
    <n v="-886.2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1"/>
    <s v="0"/>
    <n v="27380"/>
    <n v="273.8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0"/>
    <s v="0"/>
    <n v="35121"/>
    <n v="-351.21"/>
    <x v="4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107391"/>
    <n v="1073.9100000000001"/>
    <x v="5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30000000"/>
    <n v="300000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134800"/>
    <n v="1348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289542"/>
    <n v="2895.42"/>
    <x v="5"/>
  </r>
  <r>
    <s v="24"/>
    <s v="052"/>
    <s v="0024"/>
    <s v="55"/>
    <s v="55"/>
    <s v="00000000"/>
    <s v="000000"/>
    <s v="05023"/>
    <s v="20170508"/>
    <s v="0001"/>
    <s v="0"/>
    <s v="20170508"/>
    <s v="10120101020100"/>
    <x v="1"/>
    <s v="0"/>
    <n v="69282"/>
    <n v="692.82"/>
    <x v="5"/>
  </r>
  <r>
    <s v="24"/>
    <s v="052"/>
    <s v="0024"/>
    <s v="55"/>
    <s v="55"/>
    <s v="00000000"/>
    <s v="000000"/>
    <s v="05023"/>
    <s v="20170509"/>
    <s v="0001"/>
    <s v="0"/>
    <s v="20170509"/>
    <s v="10120101020100"/>
    <x v="1"/>
    <s v="0"/>
    <n v="223838"/>
    <n v="2238.38"/>
    <x v="5"/>
  </r>
  <r>
    <s v="24"/>
    <s v="052"/>
    <s v="0024"/>
    <s v="55"/>
    <s v="55"/>
    <s v="00000000"/>
    <s v="000000"/>
    <s v="05023"/>
    <s v="20170510"/>
    <s v="0001"/>
    <s v="0"/>
    <s v="20170510"/>
    <s v="10120101020100"/>
    <x v="0"/>
    <s v="0"/>
    <n v="414297"/>
    <n v="-4142.97"/>
    <x v="5"/>
  </r>
  <r>
    <s v="24"/>
    <s v="052"/>
    <s v="0024"/>
    <s v="55"/>
    <s v="55"/>
    <s v="00000000"/>
    <s v="000000"/>
    <s v="05023"/>
    <s v="20170511"/>
    <s v="0001"/>
    <s v="0"/>
    <s v="20170511"/>
    <s v="10120101020100"/>
    <x v="1"/>
    <s v="0"/>
    <n v="90433"/>
    <n v="904.33"/>
    <x v="5"/>
  </r>
  <r>
    <s v="24"/>
    <s v="052"/>
    <s v="0024"/>
    <s v="55"/>
    <s v="55"/>
    <s v="00000000"/>
    <s v="000000"/>
    <s v="05023"/>
    <s v="20170512"/>
    <s v="0001"/>
    <s v="0"/>
    <s v="20170512"/>
    <s v="10120101020100"/>
    <x v="1"/>
    <s v="0"/>
    <n v="67434"/>
    <n v="674.34"/>
    <x v="5"/>
  </r>
  <r>
    <s v="24"/>
    <s v="052"/>
    <s v="0024"/>
    <s v="55"/>
    <s v="55"/>
    <s v="00000000"/>
    <s v="000000"/>
    <s v="05023"/>
    <s v="20170515"/>
    <s v="0001"/>
    <s v="0"/>
    <s v="20170515"/>
    <s v="10120101020100"/>
    <x v="1"/>
    <s v="0"/>
    <n v="80535"/>
    <n v="805.35"/>
    <x v="5"/>
  </r>
  <r>
    <s v="24"/>
    <s v="052"/>
    <s v="0024"/>
    <s v="55"/>
    <s v="55"/>
    <s v="00000000"/>
    <s v="000000"/>
    <s v="05023"/>
    <s v="20170516"/>
    <s v="0001"/>
    <s v="0"/>
    <s v="20170516"/>
    <s v="10120101020100"/>
    <x v="0"/>
    <s v="0"/>
    <n v="67666"/>
    <n v="-676.66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1"/>
    <s v="0"/>
    <n v="50000000"/>
    <n v="500000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0"/>
    <s v="0"/>
    <n v="22174"/>
    <n v="-221.74"/>
    <x v="5"/>
  </r>
  <r>
    <s v="24"/>
    <s v="052"/>
    <s v="0024"/>
    <s v="55"/>
    <s v="55"/>
    <s v="00000000"/>
    <s v="000000"/>
    <s v="05023"/>
    <s v="20170518"/>
    <s v="0001"/>
    <s v="0"/>
    <s v="20170518"/>
    <s v="10120101020100"/>
    <x v="1"/>
    <s v="0"/>
    <n v="456930"/>
    <n v="4569.3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105356"/>
    <n v="-1053.56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20397306"/>
    <n v="-203973.06"/>
    <x v="5"/>
  </r>
  <r>
    <s v="24"/>
    <s v="052"/>
    <s v="0024"/>
    <s v="55"/>
    <s v="55"/>
    <s v="00000000"/>
    <s v="000000"/>
    <s v="05023"/>
    <s v="20170522"/>
    <s v="0001"/>
    <s v="0"/>
    <s v="20170522"/>
    <s v="10120101020100"/>
    <x v="0"/>
    <s v="0"/>
    <n v="258780"/>
    <n v="-2587.8000000000002"/>
    <x v="5"/>
  </r>
  <r>
    <s v="24"/>
    <s v="052"/>
    <s v="0024"/>
    <s v="55"/>
    <s v="55"/>
    <s v="00000000"/>
    <s v="000000"/>
    <s v="05023"/>
    <s v="20170523"/>
    <s v="0001"/>
    <s v="0"/>
    <s v="20170523"/>
    <s v="10120101020100"/>
    <x v="1"/>
    <s v="0"/>
    <n v="818643"/>
    <n v="8186.43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1"/>
    <s v="0"/>
    <n v="10000000"/>
    <n v="100000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0"/>
    <s v="0"/>
    <n v="12273"/>
    <n v="-122.73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378704"/>
    <n v="-3787.04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100"/>
    <x v="0"/>
    <s v="0"/>
    <n v="158244"/>
    <n v="-1582.44"/>
    <x v="5"/>
  </r>
  <r>
    <s v="24"/>
    <s v="052"/>
    <s v="0024"/>
    <s v="55"/>
    <s v="55"/>
    <s v="00000000"/>
    <s v="000000"/>
    <s v="05023"/>
    <s v="20170529"/>
    <s v="0001"/>
    <s v="0"/>
    <s v="20170529"/>
    <s v="10120101020100"/>
    <x v="0"/>
    <s v="0"/>
    <n v="231644"/>
    <n v="-2316.44"/>
    <x v="5"/>
  </r>
  <r>
    <s v="24"/>
    <s v="052"/>
    <s v="0024"/>
    <s v="55"/>
    <s v="55"/>
    <s v="00000000"/>
    <s v="000000"/>
    <s v="05023"/>
    <s v="20170530"/>
    <s v="0001"/>
    <s v="0"/>
    <s v="20170530"/>
    <s v="10120101020100"/>
    <x v="1"/>
    <s v="0"/>
    <n v="24155"/>
    <n v="241.55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1"/>
    <s v="0"/>
    <n v="597856"/>
    <n v="5978.56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0"/>
    <s v="0"/>
    <n v="37833"/>
    <n v="-378.33"/>
    <x v="5"/>
  </r>
  <r>
    <s v="24"/>
    <s v="052"/>
    <s v="0024"/>
    <s v="55"/>
    <s v="55"/>
    <s v="00000000"/>
    <s v="000000"/>
    <s v="05023"/>
    <s v="20170602"/>
    <s v="0001"/>
    <s v="0"/>
    <s v="20170602"/>
    <s v="10120101020100"/>
    <x v="1"/>
    <s v="0"/>
    <n v="413755"/>
    <n v="4137.55"/>
    <x v="6"/>
  </r>
  <r>
    <s v="24"/>
    <s v="052"/>
    <s v="0024"/>
    <s v="55"/>
    <s v="55"/>
    <s v="00000000"/>
    <s v="000000"/>
    <s v="05023"/>
    <s v="20170605"/>
    <s v="0001"/>
    <s v="0"/>
    <s v="20170605"/>
    <s v="10120101020100"/>
    <x v="0"/>
    <s v="0"/>
    <n v="644744"/>
    <n v="-6447.44"/>
    <x v="6"/>
  </r>
  <r>
    <s v="24"/>
    <s v="052"/>
    <s v="0024"/>
    <s v="55"/>
    <s v="55"/>
    <s v="00000000"/>
    <s v="000000"/>
    <s v="05023"/>
    <s v="20170606"/>
    <s v="0001"/>
    <s v="0"/>
    <s v="20170606"/>
    <s v="10120101020100"/>
    <x v="1"/>
    <s v="0"/>
    <n v="91755"/>
    <n v="917.55"/>
    <x v="6"/>
  </r>
  <r>
    <s v="24"/>
    <s v="052"/>
    <s v="0024"/>
    <s v="55"/>
    <s v="55"/>
    <s v="00000000"/>
    <s v="000000"/>
    <s v="05023"/>
    <s v="20170607"/>
    <s v="0001"/>
    <s v="0"/>
    <s v="20170607"/>
    <s v="10120101020100"/>
    <x v="1"/>
    <s v="0"/>
    <n v="1053567"/>
    <n v="10535.67"/>
    <x v="6"/>
  </r>
  <r>
    <s v="24"/>
    <s v="052"/>
    <s v="0024"/>
    <s v="55"/>
    <s v="55"/>
    <s v="00000000"/>
    <s v="000000"/>
    <s v="05023"/>
    <s v="20170608"/>
    <s v="0001"/>
    <s v="0"/>
    <s v="20170608"/>
    <s v="10120101020100"/>
    <x v="0"/>
    <s v="0"/>
    <n v="551844"/>
    <n v="-5518.44"/>
    <x v="6"/>
  </r>
  <r>
    <s v="24"/>
    <s v="052"/>
    <s v="0024"/>
    <s v="55"/>
    <s v="55"/>
    <s v="00000000"/>
    <s v="000000"/>
    <s v="05023"/>
    <s v="20170609"/>
    <s v="0001"/>
    <s v="0"/>
    <s v="20170609"/>
    <s v="10120101020100"/>
    <x v="0"/>
    <s v="0"/>
    <n v="457200"/>
    <n v="-4572"/>
    <x v="6"/>
  </r>
  <r>
    <s v="24"/>
    <s v="052"/>
    <s v="0024"/>
    <s v="55"/>
    <s v="55"/>
    <s v="00000000"/>
    <s v="000000"/>
    <s v="05023"/>
    <s v="20170612"/>
    <s v="0001"/>
    <s v="0"/>
    <s v="20170612"/>
    <s v="10120101020100"/>
    <x v="1"/>
    <s v="0"/>
    <n v="955392"/>
    <n v="9553.92"/>
    <x v="6"/>
  </r>
  <r>
    <s v="24"/>
    <s v="052"/>
    <s v="0024"/>
    <s v="55"/>
    <s v="55"/>
    <s v="00000000"/>
    <s v="000000"/>
    <s v="05023"/>
    <s v="20170613"/>
    <s v="0001"/>
    <s v="0"/>
    <s v="20170613"/>
    <s v="10120101020100"/>
    <x v="0"/>
    <s v="0"/>
    <n v="167501"/>
    <n v="-1675.01"/>
    <x v="6"/>
  </r>
  <r>
    <s v="24"/>
    <s v="052"/>
    <s v="0024"/>
    <s v="55"/>
    <s v="55"/>
    <s v="00000000"/>
    <s v="000000"/>
    <s v="05023"/>
    <s v="20170614"/>
    <s v="0001"/>
    <s v="0"/>
    <s v="20170614"/>
    <s v="10120101020100"/>
    <x v="0"/>
    <s v="0"/>
    <n v="52602"/>
    <n v="-526.02"/>
    <x v="6"/>
  </r>
  <r>
    <s v="24"/>
    <s v="052"/>
    <s v="0024"/>
    <s v="55"/>
    <s v="55"/>
    <s v="00000000"/>
    <s v="000000"/>
    <s v="05023"/>
    <s v="20170615"/>
    <s v="0001"/>
    <s v="0"/>
    <s v="20170615"/>
    <s v="10120101020100"/>
    <x v="1"/>
    <s v="0"/>
    <n v="641529"/>
    <n v="6415.29"/>
    <x v="6"/>
  </r>
  <r>
    <s v="24"/>
    <s v="052"/>
    <s v="0024"/>
    <s v="55"/>
    <s v="55"/>
    <s v="00000000"/>
    <s v="000000"/>
    <s v="05023"/>
    <s v="20170616"/>
    <s v="0001"/>
    <s v="0"/>
    <s v="20170616"/>
    <s v="10120101020100"/>
    <x v="0"/>
    <s v="0"/>
    <n v="421895"/>
    <n v="-4218.95"/>
    <x v="6"/>
  </r>
  <r>
    <s v="24"/>
    <s v="052"/>
    <s v="0024"/>
    <s v="55"/>
    <s v="55"/>
    <s v="00000000"/>
    <s v="000000"/>
    <s v="05023"/>
    <s v="20170619"/>
    <s v="0001"/>
    <s v="0"/>
    <s v="20170619"/>
    <s v="10120101020100"/>
    <x v="1"/>
    <s v="0"/>
    <n v="57433"/>
    <n v="574.33000000000004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160683"/>
    <n v="1606.83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28000000"/>
    <n v="280000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0"/>
    <s v="0"/>
    <n v="47587"/>
    <n v="-475.87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174688"/>
    <n v="-1746.88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1"/>
    <s v="0"/>
    <n v="20000000"/>
    <n v="200000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239126"/>
    <n v="-2391.2600000000002"/>
    <x v="6"/>
  </r>
  <r>
    <s v="24"/>
    <s v="052"/>
    <s v="0024"/>
    <s v="55"/>
    <s v="55"/>
    <s v="00000000"/>
    <s v="000000"/>
    <s v="05023"/>
    <s v="20170626"/>
    <s v="0001"/>
    <s v="0"/>
    <s v="20170626"/>
    <s v="10120101020100"/>
    <x v="1"/>
    <s v="0"/>
    <n v="687620"/>
    <n v="6876.2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1"/>
    <s v="0"/>
    <n v="434528"/>
    <n v="4345.28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0"/>
    <s v="0"/>
    <n v="52683"/>
    <n v="-526.83000000000004"/>
    <x v="6"/>
  </r>
  <r>
    <s v="24"/>
    <s v="052"/>
    <s v="0024"/>
    <s v="55"/>
    <s v="55"/>
    <s v="00000000"/>
    <s v="000000"/>
    <s v="05023"/>
    <s v="20170629"/>
    <s v="0001"/>
    <s v="0"/>
    <s v="20170629"/>
    <s v="10120101020100"/>
    <x v="0"/>
    <s v="0"/>
    <n v="39070"/>
    <n v="-390.7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1"/>
    <s v="0"/>
    <n v="246753"/>
    <n v="2467.5300000000002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0"/>
    <s v="0"/>
    <n v="378984"/>
    <n v="-3789.84"/>
    <x v="6"/>
  </r>
  <r>
    <s v="24"/>
    <s v="052"/>
    <s v="0024"/>
    <s v="55"/>
    <s v="55"/>
    <s v="00000000"/>
    <s v="000000"/>
    <s v="05023"/>
    <s v="20170704"/>
    <s v="0001"/>
    <s v="0"/>
    <s v="20170704"/>
    <s v="10120101020100"/>
    <x v="0"/>
    <s v="0"/>
    <n v="261929"/>
    <n v="-2619.29"/>
    <x v="7"/>
  </r>
  <r>
    <s v="24"/>
    <s v="052"/>
    <s v="0024"/>
    <s v="55"/>
    <s v="55"/>
    <s v="00000000"/>
    <s v="000000"/>
    <s v="05023"/>
    <s v="20170705"/>
    <s v="0001"/>
    <s v="0"/>
    <s v="20170705"/>
    <s v="10120101020100"/>
    <x v="1"/>
    <s v="0"/>
    <n v="559578"/>
    <n v="5595.78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422202"/>
    <n v="-4222.0200000000004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162845"/>
    <n v="-1628.45"/>
    <x v="7"/>
  </r>
  <r>
    <s v="24"/>
    <s v="052"/>
    <s v="0024"/>
    <s v="55"/>
    <s v="55"/>
    <s v="00000000"/>
    <s v="000000"/>
    <s v="05023"/>
    <s v="20170710"/>
    <s v="0001"/>
    <s v="0"/>
    <s v="20170710"/>
    <s v="10120101020100"/>
    <x v="1"/>
    <s v="0"/>
    <n v="17577"/>
    <n v="175.77"/>
    <x v="7"/>
  </r>
  <r>
    <s v="24"/>
    <s v="052"/>
    <s v="0024"/>
    <s v="55"/>
    <s v="55"/>
    <s v="00000000"/>
    <s v="000000"/>
    <s v="05023"/>
    <s v="20170711"/>
    <s v="0001"/>
    <s v="0"/>
    <s v="20170711"/>
    <s v="10120101020100"/>
    <x v="0"/>
    <s v="0"/>
    <n v="756668"/>
    <n v="-7566.68"/>
    <x v="7"/>
  </r>
  <r>
    <s v="24"/>
    <s v="052"/>
    <s v="0024"/>
    <s v="55"/>
    <s v="55"/>
    <s v="00000000"/>
    <s v="000000"/>
    <s v="05023"/>
    <s v="20170712"/>
    <s v="0001"/>
    <s v="0"/>
    <s v="20170712"/>
    <s v="10120101020100"/>
    <x v="1"/>
    <s v="0"/>
    <n v="792257"/>
    <n v="7922.57"/>
    <x v="7"/>
  </r>
  <r>
    <s v="24"/>
    <s v="052"/>
    <s v="0024"/>
    <s v="55"/>
    <s v="55"/>
    <s v="00000000"/>
    <s v="000000"/>
    <s v="05023"/>
    <s v="20170714"/>
    <s v="0001"/>
    <s v="0"/>
    <s v="20170714"/>
    <s v="10120101020100"/>
    <x v="1"/>
    <s v="0"/>
    <n v="346916"/>
    <n v="3469.16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0"/>
    <s v="0"/>
    <n v="67603"/>
    <n v="-676.03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1"/>
    <s v="0"/>
    <n v="332423"/>
    <n v="3324.23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664846"/>
    <n v="-6648.46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310109"/>
    <n v="-3101.09"/>
    <x v="7"/>
  </r>
  <r>
    <s v="24"/>
    <s v="052"/>
    <s v="0024"/>
    <s v="55"/>
    <s v="55"/>
    <s v="00000000"/>
    <s v="000000"/>
    <s v="05023"/>
    <s v="20170720"/>
    <s v="0001"/>
    <s v="0"/>
    <s v="20170720"/>
    <s v="10120101020100"/>
    <x v="0"/>
    <s v="0"/>
    <n v="3298"/>
    <n v="-32.979999999999997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539702"/>
    <n v="5397.02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6596"/>
    <n v="65.959999999999994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999295"/>
    <n v="9992.9500000000007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079404"/>
    <n v="-10794.04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94383"/>
    <n v="-1943.83"/>
    <x v="7"/>
  </r>
  <r>
    <s v="24"/>
    <s v="052"/>
    <s v="0024"/>
    <s v="55"/>
    <s v="55"/>
    <s v="00000000"/>
    <s v="000000"/>
    <s v="05023"/>
    <s v="20170726"/>
    <s v="0001"/>
    <s v="0"/>
    <s v="20170726"/>
    <s v="10120101020100"/>
    <x v="0"/>
    <s v="0"/>
    <n v="16370"/>
    <n v="-163.69999999999999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20737"/>
    <n v="207.37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58597"/>
    <n v="585.9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58477"/>
    <n v="1584.7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0"/>
    <s v="0"/>
    <n v="135352"/>
    <n v="-1353.5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1"/>
    <s v="0"/>
    <n v="319392"/>
    <n v="3193.9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0"/>
    <s v="0"/>
    <n v="336684"/>
    <n v="-3366.84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35352"/>
    <n v="1353.52"/>
    <x v="7"/>
  </r>
  <r>
    <s v="24"/>
    <s v="052"/>
    <s v="0024"/>
    <s v="55"/>
    <s v="55"/>
    <s v="00000000"/>
    <s v="000000"/>
    <s v="05023"/>
    <s v="20170802"/>
    <s v="0001"/>
    <s v="0"/>
    <s v="20170802"/>
    <s v="10120101020100"/>
    <x v="0"/>
    <s v="0"/>
    <n v="70984"/>
    <n v="-709.84"/>
    <x v="8"/>
  </r>
  <r>
    <s v="24"/>
    <s v="052"/>
    <s v="0024"/>
    <s v="55"/>
    <s v="55"/>
    <s v="00000000"/>
    <s v="000000"/>
    <s v="05023"/>
    <s v="20170803"/>
    <s v="0001"/>
    <s v="0"/>
    <s v="20170803"/>
    <s v="10120101020100"/>
    <x v="1"/>
    <s v="0"/>
    <n v="214578"/>
    <n v="2145.7800000000002"/>
    <x v="8"/>
  </r>
  <r>
    <s v="24"/>
    <s v="052"/>
    <s v="0024"/>
    <s v="55"/>
    <s v="55"/>
    <s v="00000000"/>
    <s v="000000"/>
    <s v="05023"/>
    <s v="20170804"/>
    <s v="0001"/>
    <s v="0"/>
    <s v="20170804"/>
    <s v="10120101020100"/>
    <x v="0"/>
    <s v="0"/>
    <n v="166704"/>
    <n v="-1667.04"/>
    <x v="8"/>
  </r>
  <r>
    <s v="24"/>
    <s v="052"/>
    <s v="0024"/>
    <s v="55"/>
    <s v="55"/>
    <s v="00000000"/>
    <s v="000000"/>
    <s v="05023"/>
    <s v="20170807"/>
    <s v="0001"/>
    <s v="0"/>
    <s v="20170807"/>
    <s v="10120101020100"/>
    <x v="1"/>
    <s v="0"/>
    <n v="154558"/>
    <n v="1545.58"/>
    <x v="8"/>
  </r>
  <r>
    <s v="24"/>
    <s v="052"/>
    <s v="0024"/>
    <s v="55"/>
    <s v="55"/>
    <s v="00000000"/>
    <s v="000000"/>
    <s v="05023"/>
    <s v="20170809"/>
    <s v="0001"/>
    <s v="0"/>
    <s v="20170809"/>
    <s v="10120101020100"/>
    <x v="0"/>
    <s v="0"/>
    <n v="54829"/>
    <n v="-548.29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1"/>
    <s v="0"/>
    <n v="203437"/>
    <n v="2034.37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0"/>
    <s v="0"/>
    <n v="93884"/>
    <n v="-938.84"/>
    <x v="8"/>
  </r>
  <r>
    <s v="24"/>
    <s v="052"/>
    <s v="0024"/>
    <s v="55"/>
    <s v="55"/>
    <s v="00000000"/>
    <s v="000000"/>
    <s v="05023"/>
    <s v="20170811"/>
    <s v="0001"/>
    <s v="0"/>
    <s v="20170811"/>
    <s v="10120101020100"/>
    <x v="1"/>
    <s v="0"/>
    <n v="106537"/>
    <n v="1065.3699999999999"/>
    <x v="8"/>
  </r>
  <r>
    <s v="24"/>
    <s v="052"/>
    <s v="0024"/>
    <s v="55"/>
    <s v="55"/>
    <s v="00000000"/>
    <s v="000000"/>
    <s v="05023"/>
    <s v="20170814"/>
    <s v="0001"/>
    <s v="0"/>
    <s v="20170814"/>
    <s v="10120101020100"/>
    <x v="0"/>
    <s v="0"/>
    <n v="46064"/>
    <n v="-460.64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1"/>
    <s v="0"/>
    <n v="121308"/>
    <n v="1213.08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0"/>
    <s v="0"/>
    <n v="38302000"/>
    <n v="-383020"/>
    <x v="8"/>
  </r>
  <r>
    <s v="24"/>
    <s v="052"/>
    <s v="0024"/>
    <s v="55"/>
    <s v="55"/>
    <s v="00000000"/>
    <s v="000000"/>
    <s v="05023"/>
    <s v="20170816"/>
    <s v="0001"/>
    <s v="0"/>
    <s v="20170816"/>
    <s v="10120101020100"/>
    <x v="1"/>
    <s v="0"/>
    <n v="558935"/>
    <n v="5589.35"/>
    <x v="8"/>
  </r>
  <r>
    <s v="24"/>
    <s v="052"/>
    <s v="0024"/>
    <s v="55"/>
    <s v="55"/>
    <s v="00000000"/>
    <s v="000000"/>
    <s v="05023"/>
    <s v="20170817"/>
    <s v="0001"/>
    <s v="0"/>
    <s v="20170817"/>
    <s v="10120101020100"/>
    <x v="0"/>
    <s v="0"/>
    <n v="641963"/>
    <n v="-6419.63"/>
    <x v="8"/>
  </r>
  <r>
    <s v="24"/>
    <s v="052"/>
    <s v="0024"/>
    <s v="55"/>
    <s v="55"/>
    <s v="00000000"/>
    <s v="000000"/>
    <s v="05023"/>
    <s v="20170818"/>
    <s v="0001"/>
    <s v="0"/>
    <s v="20170818"/>
    <s v="10120101020100"/>
    <x v="1"/>
    <s v="0"/>
    <n v="186036"/>
    <n v="1860.36"/>
    <x v="8"/>
  </r>
  <r>
    <s v="24"/>
    <s v="052"/>
    <s v="0024"/>
    <s v="55"/>
    <s v="55"/>
    <s v="00000000"/>
    <s v="000000"/>
    <s v="05023"/>
    <s v="20170821"/>
    <s v="0001"/>
    <s v="0"/>
    <s v="20170821"/>
    <s v="10120101020100"/>
    <x v="0"/>
    <s v="0"/>
    <n v="24764"/>
    <n v="-247.64"/>
    <x v="8"/>
  </r>
  <r>
    <s v="24"/>
    <s v="052"/>
    <s v="0024"/>
    <s v="55"/>
    <s v="55"/>
    <s v="00000000"/>
    <s v="000000"/>
    <s v="05023"/>
    <s v="20170822"/>
    <s v="0001"/>
    <s v="0"/>
    <s v="20170822"/>
    <s v="10120101020100"/>
    <x v="1"/>
    <s v="0"/>
    <n v="55308"/>
    <n v="553.08000000000004"/>
    <x v="8"/>
  </r>
  <r>
    <s v="24"/>
    <s v="052"/>
    <s v="0024"/>
    <s v="55"/>
    <s v="55"/>
    <s v="00000000"/>
    <s v="000000"/>
    <s v="05023"/>
    <s v="20170823"/>
    <s v="0001"/>
    <s v="0"/>
    <s v="20170823"/>
    <s v="10120101020100"/>
    <x v="0"/>
    <s v="0"/>
    <n v="34464"/>
    <n v="-344.64"/>
    <x v="8"/>
  </r>
  <r>
    <s v="24"/>
    <s v="052"/>
    <s v="0024"/>
    <s v="55"/>
    <s v="55"/>
    <s v="00000000"/>
    <s v="000000"/>
    <s v="05023"/>
    <s v="20170824"/>
    <s v="0001"/>
    <s v="0"/>
    <s v="20170824"/>
    <s v="10120101020100"/>
    <x v="0"/>
    <s v="0"/>
    <n v="71464"/>
    <n v="-714.64"/>
    <x v="8"/>
  </r>
  <r>
    <s v="24"/>
    <s v="052"/>
    <s v="0024"/>
    <s v="55"/>
    <s v="55"/>
    <s v="00000000"/>
    <s v="000000"/>
    <s v="05023"/>
    <s v="20170825"/>
    <s v="0001"/>
    <s v="0"/>
    <s v="20170825"/>
    <s v="10120101020100"/>
    <x v="1"/>
    <s v="0"/>
    <n v="280335"/>
    <n v="2803.35"/>
    <x v="8"/>
  </r>
  <r>
    <s v="24"/>
    <s v="052"/>
    <s v="0024"/>
    <s v="55"/>
    <s v="55"/>
    <s v="00000000"/>
    <s v="000000"/>
    <s v="05023"/>
    <s v="20170828"/>
    <s v="0001"/>
    <s v="0"/>
    <s v="20170828"/>
    <s v="10120101020100"/>
    <x v="1"/>
    <s v="0"/>
    <n v="10536"/>
    <n v="105.36"/>
    <x v="8"/>
  </r>
  <r>
    <s v="24"/>
    <s v="052"/>
    <s v="0024"/>
    <s v="55"/>
    <s v="55"/>
    <s v="00000000"/>
    <s v="000000"/>
    <s v="05023"/>
    <s v="20170829"/>
    <s v="0001"/>
    <s v="0"/>
    <s v="20170829"/>
    <s v="10120101020100"/>
    <x v="1"/>
    <s v="0"/>
    <n v="10309"/>
    <n v="103.09"/>
    <x v="8"/>
  </r>
  <r>
    <s v="24"/>
    <s v="052"/>
    <s v="0024"/>
    <s v="55"/>
    <s v="55"/>
    <s v="00000000"/>
    <s v="000000"/>
    <s v="05023"/>
    <s v="20170830"/>
    <s v="0001"/>
    <s v="0"/>
    <s v="20170830"/>
    <s v="10120101020100"/>
    <x v="0"/>
    <s v="0"/>
    <n v="43065"/>
    <n v="-430.65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1"/>
    <s v="0"/>
    <n v="33036"/>
    <n v="330.36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0"/>
    <s v="0"/>
    <n v="49064"/>
    <n v="-490.64"/>
    <x v="8"/>
  </r>
  <r>
    <s v="24"/>
    <s v="052"/>
    <s v="0024"/>
    <s v="55"/>
    <s v="55"/>
    <s v="00000000"/>
    <s v="000000"/>
    <s v="05022"/>
    <s v="20170904"/>
    <s v="0001"/>
    <s v="0"/>
    <s v="20170904"/>
    <s v="10120101020100"/>
    <x v="1"/>
    <s v="0"/>
    <n v="60337"/>
    <n v="603.37"/>
    <x v="9"/>
  </r>
  <r>
    <s v="24"/>
    <s v="052"/>
    <s v="0024"/>
    <s v="55"/>
    <s v="55"/>
    <s v="00000000"/>
    <s v="000000"/>
    <s v="05022"/>
    <s v="20170905"/>
    <s v="0001"/>
    <s v="0"/>
    <s v="20170905"/>
    <s v="10120101020100"/>
    <x v="1"/>
    <s v="0"/>
    <n v="231207"/>
    <n v="2312.0700000000002"/>
    <x v="9"/>
  </r>
  <r>
    <s v="24"/>
    <s v="052"/>
    <s v="0024"/>
    <s v="55"/>
    <s v="55"/>
    <s v="00000000"/>
    <s v="000000"/>
    <s v="05022"/>
    <s v="20170906"/>
    <s v="0001"/>
    <s v="0"/>
    <s v="20170906"/>
    <s v="10120101020100"/>
    <x v="1"/>
    <s v="0"/>
    <n v="339894"/>
    <n v="3398.94"/>
    <x v="9"/>
  </r>
  <r>
    <s v="24"/>
    <s v="052"/>
    <s v="0024"/>
    <s v="55"/>
    <s v="55"/>
    <s v="00000000"/>
    <s v="000000"/>
    <s v="05022"/>
    <s v="20170907"/>
    <s v="0001"/>
    <s v="0"/>
    <s v="20170907"/>
    <s v="10120101020100"/>
    <x v="0"/>
    <s v="0"/>
    <n v="480322"/>
    <n v="-4803.22"/>
    <x v="9"/>
  </r>
  <r>
    <s v="24"/>
    <s v="052"/>
    <s v="0024"/>
    <s v="55"/>
    <s v="55"/>
    <s v="00000000"/>
    <s v="000000"/>
    <s v="05022"/>
    <s v="20170908"/>
    <s v="0001"/>
    <s v="0"/>
    <s v="20170908"/>
    <s v="10120101020100"/>
    <x v="1"/>
    <s v="0"/>
    <n v="11935"/>
    <n v="119.35"/>
    <x v="9"/>
  </r>
  <r>
    <s v="24"/>
    <s v="052"/>
    <s v="0024"/>
    <s v="55"/>
    <s v="55"/>
    <s v="00000000"/>
    <s v="000000"/>
    <s v="05022"/>
    <s v="20170911"/>
    <s v="0001"/>
    <s v="0"/>
    <s v="20170911"/>
    <s v="10120101020100"/>
    <x v="1"/>
    <s v="0"/>
    <n v="99936"/>
    <n v="999.36"/>
    <x v="9"/>
  </r>
  <r>
    <s v="24"/>
    <s v="052"/>
    <s v="0024"/>
    <s v="55"/>
    <s v="55"/>
    <s v="00000000"/>
    <s v="000000"/>
    <s v="05022"/>
    <s v="20170912"/>
    <s v="0001"/>
    <s v="0"/>
    <s v="20170912"/>
    <s v="10120101020100"/>
    <x v="0"/>
    <s v="0"/>
    <n v="268292"/>
    <n v="-2682.92"/>
    <x v="9"/>
  </r>
  <r>
    <s v="24"/>
    <s v="052"/>
    <s v="0024"/>
    <s v="55"/>
    <s v="55"/>
    <s v="00000000"/>
    <s v="000000"/>
    <s v="05022"/>
    <s v="20170913"/>
    <s v="0001"/>
    <s v="0"/>
    <s v="20170913"/>
    <s v="10120101020100"/>
    <x v="1"/>
    <s v="0"/>
    <n v="133436"/>
    <n v="1334.36"/>
    <x v="9"/>
  </r>
  <r>
    <s v="24"/>
    <s v="052"/>
    <s v="0024"/>
    <s v="55"/>
    <s v="55"/>
    <s v="00000000"/>
    <s v="000000"/>
    <s v="05022"/>
    <s v="20170914"/>
    <s v="0001"/>
    <s v="0"/>
    <s v="20170914"/>
    <s v="10120101020100"/>
    <x v="1"/>
    <s v="0"/>
    <n v="122936"/>
    <n v="1229.3599999999999"/>
    <x v="9"/>
  </r>
  <r>
    <s v="24"/>
    <s v="052"/>
    <s v="0024"/>
    <s v="55"/>
    <s v="55"/>
    <s v="00000000"/>
    <s v="000000"/>
    <s v="05022"/>
    <s v="20170915"/>
    <s v="0001"/>
    <s v="0"/>
    <s v="20170915"/>
    <s v="10120101020100"/>
    <x v="0"/>
    <s v="0"/>
    <n v="25264"/>
    <n v="-252.64"/>
    <x v="9"/>
  </r>
  <r>
    <s v="24"/>
    <s v="052"/>
    <s v="0024"/>
    <s v="55"/>
    <s v="55"/>
    <s v="00000000"/>
    <s v="000000"/>
    <s v="05022"/>
    <s v="20170918"/>
    <s v="0001"/>
    <s v="0"/>
    <s v="20170918"/>
    <s v="10120101020100"/>
    <x v="0"/>
    <s v="0"/>
    <n v="27264"/>
    <n v="-272.64"/>
    <x v="9"/>
  </r>
  <r>
    <s v="24"/>
    <s v="052"/>
    <s v="0024"/>
    <s v="55"/>
    <s v="55"/>
    <s v="00000000"/>
    <s v="000000"/>
    <s v="05022"/>
    <s v="20170919"/>
    <s v="0001"/>
    <s v="0"/>
    <s v="20170919"/>
    <s v="10120101020100"/>
    <x v="1"/>
    <s v="0"/>
    <n v="439309"/>
    <n v="4393.09"/>
    <x v="9"/>
  </r>
  <r>
    <s v="24"/>
    <s v="052"/>
    <s v="0024"/>
    <s v="55"/>
    <s v="55"/>
    <s v="00000000"/>
    <s v="000000"/>
    <s v="05022"/>
    <s v="20170920"/>
    <s v="0001"/>
    <s v="0"/>
    <s v="20170920"/>
    <s v="10120101020100"/>
    <x v="0"/>
    <s v="0"/>
    <n v="391865"/>
    <n v="-3918.65"/>
    <x v="9"/>
  </r>
  <r>
    <s v="24"/>
    <s v="052"/>
    <s v="0024"/>
    <s v="55"/>
    <s v="55"/>
    <s v="00000000"/>
    <s v="000000"/>
    <s v="05022"/>
    <s v="20170921"/>
    <s v="0001"/>
    <s v="0"/>
    <s v="20170921"/>
    <s v="10120101020100"/>
    <x v="0"/>
    <s v="0"/>
    <n v="77764"/>
    <n v="-777.64"/>
    <x v="9"/>
  </r>
  <r>
    <s v="24"/>
    <s v="052"/>
    <s v="0024"/>
    <s v="55"/>
    <s v="55"/>
    <s v="00000000"/>
    <s v="000000"/>
    <s v="05022"/>
    <s v="20170922"/>
    <s v="0001"/>
    <s v="0"/>
    <s v="20170922"/>
    <s v="10120101020100"/>
    <x v="1"/>
    <s v="0"/>
    <n v="8235"/>
    <n v="82.35"/>
    <x v="9"/>
  </r>
  <r>
    <s v="24"/>
    <s v="052"/>
    <s v="0024"/>
    <s v="55"/>
    <s v="55"/>
    <s v="00000000"/>
    <s v="000000"/>
    <s v="05022"/>
    <s v="20170925"/>
    <s v="0001"/>
    <s v="0"/>
    <s v="20170925"/>
    <s v="10120101020100"/>
    <x v="1"/>
    <s v="0"/>
    <n v="214837"/>
    <n v="2148.37"/>
    <x v="9"/>
  </r>
  <r>
    <s v="24"/>
    <s v="052"/>
    <s v="0024"/>
    <s v="55"/>
    <s v="55"/>
    <s v="00000000"/>
    <s v="000000"/>
    <s v="05022"/>
    <s v="20170926"/>
    <s v="0001"/>
    <s v="0"/>
    <s v="20170926"/>
    <s v="10120101020100"/>
    <x v="0"/>
    <s v="0"/>
    <n v="13693"/>
    <n v="-136.93"/>
    <x v="9"/>
  </r>
  <r>
    <s v="24"/>
    <s v="052"/>
    <s v="0024"/>
    <s v="55"/>
    <s v="55"/>
    <s v="00000000"/>
    <s v="000000"/>
    <s v="05022"/>
    <s v="20170927"/>
    <s v="0001"/>
    <s v="0"/>
    <s v="20170927"/>
    <s v="10120101020100"/>
    <x v="1"/>
    <s v="0"/>
    <n v="2536"/>
    <n v="25.36"/>
    <x v="9"/>
  </r>
  <r>
    <s v="24"/>
    <s v="052"/>
    <s v="0024"/>
    <s v="55"/>
    <s v="55"/>
    <s v="00000000"/>
    <s v="000000"/>
    <s v="05022"/>
    <s v="20170928"/>
    <s v="0001"/>
    <s v="0"/>
    <s v="20170928"/>
    <s v="10120101020100"/>
    <x v="0"/>
    <s v="0"/>
    <n v="120064"/>
    <n v="-1200.6400000000001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68663"/>
    <n v="-686.63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7335"/>
    <n v="-73.349999999999994"/>
    <x v="9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3"/>
    <s v="0001"/>
    <s v="0"/>
    <s v="20171003"/>
    <s v="10120101020100"/>
    <x v="1"/>
    <s v="0"/>
    <n v="116909"/>
    <n v="1169.0899999999999"/>
    <x v="10"/>
  </r>
  <r>
    <s v="24"/>
    <s v="052"/>
    <s v="0024"/>
    <s v="55"/>
    <s v="55"/>
    <s v="00000000"/>
    <s v="000000"/>
    <s v="05022"/>
    <s v="20171004"/>
    <s v="0001"/>
    <s v="0"/>
    <s v="20171004"/>
    <s v="10120101020100"/>
    <x v="1"/>
    <s v="0"/>
    <n v="26435"/>
    <n v="264.35000000000002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108887"/>
    <n v="-1088.8699999999999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50853614"/>
    <n v="-508536.14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20246212"/>
    <n v="-202462.12"/>
    <x v="10"/>
  </r>
  <r>
    <s v="24"/>
    <s v="052"/>
    <s v="0024"/>
    <s v="55"/>
    <s v="55"/>
    <s v="00000000"/>
    <s v="000000"/>
    <s v="05022"/>
    <s v="20171006"/>
    <s v="0001"/>
    <s v="0"/>
    <s v="20171006"/>
    <s v="10120101020100"/>
    <x v="1"/>
    <s v="0"/>
    <n v="146111"/>
    <n v="1461.11"/>
    <x v="10"/>
  </r>
  <r>
    <s v="24"/>
    <s v="052"/>
    <s v="0024"/>
    <s v="55"/>
    <s v="55"/>
    <s v="00000000"/>
    <s v="000000"/>
    <s v="05022"/>
    <s v="20171009"/>
    <s v="0001"/>
    <s v="0"/>
    <s v="20171009"/>
    <s v="10120101020100"/>
    <x v="0"/>
    <s v="0"/>
    <n v="99887"/>
    <n v="-99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39664"/>
    <n v="-396.64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221887"/>
    <n v="-221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1"/>
    <s v="0"/>
    <n v="286111"/>
    <n v="2861.11"/>
    <x v="10"/>
  </r>
  <r>
    <s v="24"/>
    <s v="052"/>
    <s v="0024"/>
    <s v="55"/>
    <s v="55"/>
    <s v="00000000"/>
    <s v="000000"/>
    <s v="05022"/>
    <s v="20171013"/>
    <s v="0001"/>
    <s v="0"/>
    <s v="20171013"/>
    <s v="10120101020100"/>
    <x v="0"/>
    <s v="0"/>
    <n v="164887"/>
    <n v="-1648.87"/>
    <x v="10"/>
  </r>
  <r>
    <s v="24"/>
    <s v="052"/>
    <s v="0024"/>
    <s v="55"/>
    <s v="55"/>
    <s v="00000000"/>
    <s v="000000"/>
    <s v="05022"/>
    <s v="20171016"/>
    <s v="0001"/>
    <s v="0"/>
    <s v="20171016"/>
    <s v="10120101020100"/>
    <x v="1"/>
    <s v="0"/>
    <n v="124112"/>
    <n v="1241.1199999999999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0"/>
    <s v="0"/>
    <n v="219636"/>
    <n v="-2196.36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1"/>
    <s v="0"/>
    <n v="50000000"/>
    <n v="500000"/>
    <x v="10"/>
  </r>
  <r>
    <s v="24"/>
    <s v="052"/>
    <s v="0024"/>
    <s v="55"/>
    <s v="55"/>
    <s v="00000000"/>
    <s v="000000"/>
    <s v="05022"/>
    <s v="20171018"/>
    <s v="0001"/>
    <s v="0"/>
    <s v="20171018"/>
    <s v="10120101020100"/>
    <x v="1"/>
    <s v="0"/>
    <n v="112613"/>
    <n v="1126.1300000000001"/>
    <x v="10"/>
  </r>
  <r>
    <s v="24"/>
    <s v="052"/>
    <s v="0024"/>
    <s v="55"/>
    <s v="55"/>
    <s v="00000000"/>
    <s v="000000"/>
    <s v="05022"/>
    <s v="20171019"/>
    <s v="0001"/>
    <s v="0"/>
    <s v="20171019"/>
    <s v="10120101020100"/>
    <x v="1"/>
    <s v="0"/>
    <n v="46139"/>
    <n v="461.39"/>
    <x v="10"/>
  </r>
  <r>
    <s v="24"/>
    <s v="052"/>
    <s v="0024"/>
    <s v="55"/>
    <s v="55"/>
    <s v="00000000"/>
    <s v="000000"/>
    <s v="05022"/>
    <s v="20171020"/>
    <s v="0001"/>
    <s v="0"/>
    <s v="20171020"/>
    <s v="10120101020100"/>
    <x v="1"/>
    <s v="0"/>
    <n v="12141"/>
    <n v="121.41"/>
    <x v="10"/>
  </r>
  <r>
    <s v="24"/>
    <s v="052"/>
    <s v="0024"/>
    <s v="55"/>
    <s v="55"/>
    <s v="00000000"/>
    <s v="000000"/>
    <s v="05022"/>
    <s v="20171023"/>
    <s v="0001"/>
    <s v="0"/>
    <s v="20171023"/>
    <s v="10120101020100"/>
    <x v="0"/>
    <s v="0"/>
    <n v="320361"/>
    <n v="-3203.61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1"/>
    <s v="0"/>
    <n v="278420"/>
    <n v="2784.2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0"/>
    <s v="0"/>
    <n v="80997049"/>
    <m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0"/>
    <s v="0"/>
    <n v="70360"/>
    <n v="-703.6"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1"/>
    <s v="0"/>
    <n v="80997049"/>
    <m/>
    <x v="10"/>
  </r>
  <r>
    <s v="24"/>
    <s v="052"/>
    <s v="0024"/>
    <s v="55"/>
    <s v="55"/>
    <s v="00000000"/>
    <s v="000000"/>
    <s v="05022"/>
    <s v="20171026"/>
    <s v="0001"/>
    <s v="0"/>
    <s v="20171026"/>
    <s v="10120101020100"/>
    <x v="0"/>
    <s v="0"/>
    <n v="47360"/>
    <n v="-473.6"/>
    <x v="10"/>
  </r>
  <r>
    <s v="24"/>
    <s v="052"/>
    <s v="0024"/>
    <s v="55"/>
    <s v="55"/>
    <s v="00000000"/>
    <s v="000000"/>
    <s v="05022"/>
    <s v="20171027"/>
    <s v="0001"/>
    <s v="0"/>
    <s v="20171027"/>
    <s v="10120101020100"/>
    <x v="1"/>
    <s v="0"/>
    <n v="76640"/>
    <n v="766.4"/>
    <x v="10"/>
  </r>
  <r>
    <s v="24"/>
    <s v="052"/>
    <s v="0024"/>
    <s v="55"/>
    <s v="55"/>
    <s v="00000000"/>
    <s v="000000"/>
    <s v="05022"/>
    <s v="20171030"/>
    <s v="0001"/>
    <s v="0"/>
    <s v="20171030"/>
    <s v="10120101020100"/>
    <x v="1"/>
    <s v="0"/>
    <n v="585640"/>
    <n v="5856.4"/>
    <x v="10"/>
  </r>
  <r>
    <s v="24"/>
    <s v="052"/>
    <s v="0024"/>
    <s v="55"/>
    <s v="55"/>
    <s v="00000000"/>
    <s v="000000"/>
    <s v="05023"/>
    <s v="20171030"/>
    <s v="0001"/>
    <s v="0"/>
    <s v="20171030"/>
    <s v="10120101020100"/>
    <x v="0"/>
    <s v="0"/>
    <n v="50010306"/>
    <m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499664"/>
    <n v="-4996.6400000000003"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13887"/>
    <n v="-138.87"/>
    <x v="10"/>
  </r>
  <r>
    <s v="24"/>
    <s v="052"/>
    <s v="0024"/>
    <s v="55"/>
    <s v="55"/>
    <s v="00000000"/>
    <s v="000000"/>
    <s v="05022"/>
    <s v="20171102"/>
    <s v="0001"/>
    <s v="0"/>
    <s v="20171102"/>
    <s v="10120101020100"/>
    <x v="1"/>
    <s v="0"/>
    <n v="47168"/>
    <n v="471.68"/>
    <x v="11"/>
  </r>
  <r>
    <s v="24"/>
    <s v="052"/>
    <s v="0024"/>
    <s v="55"/>
    <s v="55"/>
    <s v="00000000"/>
    <s v="000000"/>
    <s v="05022"/>
    <s v="20171107"/>
    <s v="0001"/>
    <s v="0"/>
    <s v="20171107"/>
    <s v="10120101020100"/>
    <x v="0"/>
    <s v="0"/>
    <n v="47888"/>
    <n v="-478.88"/>
    <x v="11"/>
  </r>
  <r>
    <s v="24"/>
    <s v="052"/>
    <s v="0024"/>
    <s v="55"/>
    <s v="55"/>
    <s v="00000000"/>
    <s v="000000"/>
    <s v="05022"/>
    <s v="20171108"/>
    <s v="0001"/>
    <s v="0"/>
    <s v="20171108"/>
    <s v="10120101020100"/>
    <x v="0"/>
    <s v="0"/>
    <n v="127440"/>
    <n v="-1274.40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100"/>
    <x v="1"/>
    <s v="0"/>
    <n v="113"/>
    <n v="1.1299999999999999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27"/>
    <n v="0.27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33112"/>
    <n v="331.12"/>
    <x v="11"/>
  </r>
  <r>
    <s v="24"/>
    <s v="052"/>
    <s v="0024"/>
    <s v="55"/>
    <s v="55"/>
    <s v="00000000"/>
    <s v="000000"/>
    <s v="05022"/>
    <s v="20171114"/>
    <s v="0001"/>
    <s v="0"/>
    <s v="20171114"/>
    <s v="10120101020100"/>
    <x v="1"/>
    <s v="0"/>
    <n v="337"/>
    <n v="3.37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438888"/>
    <n v="-4388.88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520888"/>
    <n v="-5208.88"/>
    <x v="11"/>
  </r>
  <r>
    <s v="24"/>
    <s v="052"/>
    <s v="0024"/>
    <s v="55"/>
    <s v="55"/>
    <s v="00000000"/>
    <s v="000000"/>
    <s v="05022"/>
    <s v="20171121"/>
    <s v="0001"/>
    <s v="0"/>
    <s v="20171121"/>
    <s v="10120101020100"/>
    <x v="1"/>
    <s v="0"/>
    <n v="413804"/>
    <n v="4138.04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1"/>
    <s v="0"/>
    <n v="1123000"/>
    <n v="11230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0"/>
    <s v="0"/>
    <n v="1616093"/>
    <n v="-16160.93"/>
    <x v="11"/>
  </r>
  <r>
    <s v="24"/>
    <s v="052"/>
    <s v="0024"/>
    <s v="55"/>
    <s v="55"/>
    <s v="00000000"/>
    <s v="000000"/>
    <s v="05022"/>
    <s v="20171122"/>
    <s v="0001"/>
    <s v="0"/>
    <s v="20171122"/>
    <s v="10120101020100"/>
    <x v="1"/>
    <s v="0"/>
    <n v="50000000"/>
    <m/>
    <x v="11"/>
  </r>
  <r>
    <s v="24"/>
    <s v="052"/>
    <s v="0024"/>
    <s v="55"/>
    <s v="55"/>
    <s v="00000000"/>
    <s v="000000"/>
    <s v="05022"/>
    <s v="20171123"/>
    <s v="0001"/>
    <s v="0"/>
    <s v="20171123"/>
    <s v="10120101020100"/>
    <x v="1"/>
    <s v="0"/>
    <n v="952674"/>
    <n v="9526.74"/>
    <x v="11"/>
  </r>
  <r>
    <s v="24"/>
    <s v="052"/>
    <s v="0024"/>
    <s v="55"/>
    <s v="55"/>
    <s v="00000000"/>
    <s v="000000"/>
    <s v="05022"/>
    <s v="20171124"/>
    <s v="0001"/>
    <s v="0"/>
    <s v="20171124"/>
    <s v="10120101020100"/>
    <x v="1"/>
    <s v="0"/>
    <n v="74451"/>
    <n v="744.51"/>
    <x v="11"/>
  </r>
  <r>
    <s v="24"/>
    <s v="052"/>
    <s v="0024"/>
    <s v="55"/>
    <s v="55"/>
    <s v="00000000"/>
    <s v="000000"/>
    <s v="05022"/>
    <s v="20171127"/>
    <s v="0001"/>
    <s v="0"/>
    <s v="20171127"/>
    <s v="10120101020100"/>
    <x v="0"/>
    <s v="0"/>
    <n v="398047"/>
    <n v="-3980.47"/>
    <x v="11"/>
  </r>
  <r>
    <s v="24"/>
    <s v="052"/>
    <s v="0024"/>
    <s v="55"/>
    <s v="55"/>
    <s v="00000000"/>
    <s v="000000"/>
    <s v="05022"/>
    <s v="20171129"/>
    <s v="0001"/>
    <s v="0"/>
    <s v="20171129"/>
    <s v="10120101020100"/>
    <x v="0"/>
    <s v="0"/>
    <n v="337308"/>
    <n v="-3373.08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284039"/>
    <n v="2840.39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125952"/>
    <n v="1259.52"/>
    <x v="11"/>
  </r>
  <r>
    <s v="24"/>
    <s v="052"/>
    <s v="0024"/>
    <s v="55"/>
    <s v="55"/>
    <s v="00000000"/>
    <s v="000000"/>
    <s v="05022"/>
    <s v="20171204"/>
    <s v="0001"/>
    <s v="0"/>
    <s v="20171204"/>
    <s v="10120101020100"/>
    <x v="0"/>
    <s v="0"/>
    <n v="20046"/>
    <n v="-200.46"/>
    <x v="12"/>
  </r>
  <r>
    <s v="24"/>
    <s v="052"/>
    <s v="0024"/>
    <s v="55"/>
    <s v="55"/>
    <s v="00000000"/>
    <s v="000000"/>
    <s v="05022"/>
    <s v="20171205"/>
    <s v="0001"/>
    <s v="0"/>
    <s v="20171205"/>
    <s v="10120101020100"/>
    <x v="0"/>
    <s v="0"/>
    <n v="95644"/>
    <n v="-956.44"/>
    <x v="12"/>
  </r>
  <r>
    <s v="24"/>
    <s v="052"/>
    <s v="0024"/>
    <s v="55"/>
    <s v="55"/>
    <s v="00000000"/>
    <s v="000000"/>
    <s v="05022"/>
    <s v="20171206"/>
    <s v="0001"/>
    <s v="0"/>
    <s v="20171206"/>
    <s v="10120101020100"/>
    <x v="1"/>
    <s v="0"/>
    <n v="86953"/>
    <n v="869.53"/>
    <x v="12"/>
  </r>
  <r>
    <s v="24"/>
    <s v="052"/>
    <s v="0024"/>
    <s v="55"/>
    <s v="55"/>
    <s v="00000000"/>
    <s v="000000"/>
    <s v="05022"/>
    <s v="20171207"/>
    <s v="0001"/>
    <s v="0"/>
    <s v="20171207"/>
    <s v="10120101020100"/>
    <x v="1"/>
    <s v="0"/>
    <n v="142452"/>
    <n v="1424.52"/>
    <x v="12"/>
  </r>
  <r>
    <s v="24"/>
    <s v="052"/>
    <s v="0024"/>
    <s v="55"/>
    <s v="55"/>
    <s v="00000000"/>
    <s v="000000"/>
    <s v="05022"/>
    <s v="20171211"/>
    <s v="0001"/>
    <s v="0"/>
    <s v="20171211"/>
    <s v="10120101020100"/>
    <x v="0"/>
    <s v="0"/>
    <n v="333047"/>
    <n v="-3330.4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51597"/>
    <n v="515.9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20000000"/>
    <n v="200000"/>
    <x v="12"/>
  </r>
  <r>
    <s v="24"/>
    <s v="052"/>
    <s v="0024"/>
    <s v="55"/>
    <s v="55"/>
    <s v="00000000"/>
    <s v="000000"/>
    <s v="05022"/>
    <s v="20171213"/>
    <s v="0001"/>
    <s v="0"/>
    <s v="20171213"/>
    <s v="10120101020100"/>
    <x v="0"/>
    <s v="0"/>
    <n v="448647"/>
    <n v="-4486.47"/>
    <x v="12"/>
  </r>
  <r>
    <s v="24"/>
    <s v="052"/>
    <s v="0024"/>
    <s v="55"/>
    <s v="55"/>
    <s v="00000000"/>
    <s v="000000"/>
    <s v="05022"/>
    <s v="20171214"/>
    <s v="0001"/>
    <s v="0"/>
    <s v="20171214"/>
    <s v="10120101020100"/>
    <x v="1"/>
    <s v="0"/>
    <n v="512943"/>
    <n v="5129.43"/>
    <x v="12"/>
  </r>
  <r>
    <s v="24"/>
    <s v="052"/>
    <s v="0024"/>
    <s v="55"/>
    <s v="55"/>
    <s v="00000000"/>
    <s v="000000"/>
    <s v="05022"/>
    <s v="20171215"/>
    <s v="0001"/>
    <s v="0"/>
    <s v="20171215"/>
    <s v="10120101020100"/>
    <x v="0"/>
    <s v="0"/>
    <n v="11758"/>
    <n v="-117.58"/>
    <x v="12"/>
  </r>
  <r>
    <s v="24"/>
    <s v="052"/>
    <s v="0024"/>
    <s v="55"/>
    <s v="55"/>
    <s v="00000000"/>
    <s v="000000"/>
    <s v="05022"/>
    <s v="20171218"/>
    <s v="0001"/>
    <s v="0"/>
    <s v="20171218"/>
    <s v="10120101020100"/>
    <x v="1"/>
    <s v="0"/>
    <n v="557543"/>
    <n v="5575.43"/>
    <x v="12"/>
  </r>
  <r>
    <s v="24"/>
    <s v="052"/>
    <s v="0024"/>
    <s v="55"/>
    <s v="55"/>
    <s v="00000000"/>
    <s v="000000"/>
    <s v="05022"/>
    <s v="20171219"/>
    <s v="0001"/>
    <s v="0"/>
    <s v="20171219"/>
    <s v="10120101020100"/>
    <x v="0"/>
    <s v="0"/>
    <n v="619672"/>
    <n v="-6196.7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1"/>
    <s v="0"/>
    <n v="93952"/>
    <n v="939.5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0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0"/>
    <s v="0"/>
    <n v="44048"/>
    <n v="-440.48"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1"/>
    <s v="0"/>
    <n v="226952"/>
    <n v="2269.52"/>
    <x v="12"/>
  </r>
  <r>
    <s v="24"/>
    <s v="052"/>
    <s v="0024"/>
    <s v="55"/>
    <s v="55"/>
    <s v="00000000"/>
    <s v="000000"/>
    <s v="05022"/>
    <s v="20171226"/>
    <s v="0001"/>
    <s v="0"/>
    <s v="20171226"/>
    <s v="10120101020100"/>
    <x v="0"/>
    <s v="0"/>
    <n v="171048"/>
    <n v="-1710.48"/>
    <x v="12"/>
  </r>
  <r>
    <s v="24"/>
    <s v="052"/>
    <s v="0024"/>
    <s v="55"/>
    <s v="55"/>
    <s v="00000000"/>
    <s v="000000"/>
    <s v="05022"/>
    <s v="20171227"/>
    <s v="0001"/>
    <s v="0"/>
    <s v="20171227"/>
    <s v="10120101020100"/>
    <x v="0"/>
    <s v="0"/>
    <n v="3548"/>
    <n v="-35.479999999999997"/>
    <x v="12"/>
  </r>
  <r>
    <s v="24"/>
    <s v="052"/>
    <s v="0024"/>
    <s v="55"/>
    <s v="55"/>
    <s v="00000000"/>
    <s v="000000"/>
    <s v="05022"/>
    <s v="20171228"/>
    <s v="0001"/>
    <s v="0"/>
    <s v="20171228"/>
    <s v="10120101020100"/>
    <x v="0"/>
    <s v="0"/>
    <n v="420189"/>
    <n v="-4201.8900000000003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342452"/>
    <n v="3424.52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41452"/>
    <n v="414.52"/>
    <x v="12"/>
  </r>
  <r>
    <s v="24"/>
    <s v="052"/>
    <s v="0024"/>
    <s v="55"/>
    <s v="55"/>
    <s v="00000000"/>
    <s v="000000"/>
    <s v="05023"/>
    <s v="20170103"/>
    <s v="0001"/>
    <s v="0"/>
    <s v="20170103"/>
    <s v="10121012010102020001020200"/>
    <x v="0"/>
    <s v="0"/>
    <n v="20764"/>
    <m/>
    <x v="0"/>
  </r>
  <r>
    <s v="24"/>
    <s v="052"/>
    <s v="0024"/>
    <s v="55"/>
    <s v="55"/>
    <s v="00000000"/>
    <s v="000000"/>
    <s v="05023"/>
    <s v="20170104"/>
    <s v="0001"/>
    <s v="0"/>
    <s v="20170104"/>
    <s v="10121012010102020001020200"/>
    <x v="0"/>
    <s v="0"/>
    <n v="2646"/>
    <n v="-26.46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1"/>
    <s v="0"/>
    <n v="20000000"/>
    <n v="200000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0"/>
    <s v="0"/>
    <n v="39440"/>
    <n v="-394.4"/>
    <x v="0"/>
  </r>
  <r>
    <s v="24"/>
    <s v="052"/>
    <s v="0024"/>
    <s v="55"/>
    <s v="55"/>
    <s v="00000000"/>
    <s v="000000"/>
    <s v="05023"/>
    <s v="20170106"/>
    <s v="0001"/>
    <s v="0"/>
    <s v="20170106"/>
    <s v="10121012010102020001020200"/>
    <x v="1"/>
    <s v="0"/>
    <n v="95780"/>
    <n v="957.8"/>
    <x v="0"/>
  </r>
  <r>
    <s v="24"/>
    <s v="052"/>
    <s v="0024"/>
    <s v="55"/>
    <s v="55"/>
    <s v="00000000"/>
    <s v="000000"/>
    <s v="05023"/>
    <s v="20170110"/>
    <s v="0001"/>
    <s v="0"/>
    <s v="20170110"/>
    <s v="10121012010102020001020200"/>
    <x v="0"/>
    <s v="0"/>
    <n v="31035"/>
    <n v="-310.35000000000002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0"/>
    <s v="0"/>
    <n v="166680"/>
    <n v="-1666.8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1"/>
    <s v="0"/>
    <n v="15000000"/>
    <n v="150000"/>
    <x v="0"/>
  </r>
  <r>
    <s v="24"/>
    <s v="052"/>
    <s v="0024"/>
    <s v="55"/>
    <s v="55"/>
    <s v="00000000"/>
    <s v="000000"/>
    <s v="05023"/>
    <s v="20170112"/>
    <s v="0001"/>
    <s v="0"/>
    <s v="20170112"/>
    <s v="10121012010102020001020200"/>
    <x v="1"/>
    <s v="0"/>
    <n v="803731"/>
    <n v="8037.31"/>
    <x v="0"/>
  </r>
  <r>
    <s v="24"/>
    <s v="052"/>
    <s v="0024"/>
    <s v="55"/>
    <s v="55"/>
    <s v="00000000"/>
    <s v="000000"/>
    <s v="05023"/>
    <s v="20170113"/>
    <s v="0001"/>
    <s v="0"/>
    <s v="20170113"/>
    <s v="10121012010102020001020200"/>
    <x v="0"/>
    <s v="0"/>
    <n v="204190"/>
    <n v="-2041.9"/>
    <x v="0"/>
  </r>
  <r>
    <s v="24"/>
    <s v="052"/>
    <s v="0024"/>
    <s v="55"/>
    <s v="55"/>
    <s v="00000000"/>
    <s v="000000"/>
    <s v="05023"/>
    <s v="20170116"/>
    <s v="0001"/>
    <s v="0"/>
    <s v="20170116"/>
    <s v="10121012010102020001020200"/>
    <x v="0"/>
    <s v="0"/>
    <n v="407328"/>
    <n v="-4073.28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1"/>
    <s v="0"/>
    <n v="300000000"/>
    <n v="3000000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0"/>
    <s v="0"/>
    <n v="4438"/>
    <n v="-44.38"/>
    <x v="0"/>
  </r>
  <r>
    <s v="24"/>
    <s v="052"/>
    <s v="0024"/>
    <s v="55"/>
    <s v="55"/>
    <s v="00000000"/>
    <s v="000000"/>
    <s v="05023"/>
    <s v="20170118"/>
    <s v="0001"/>
    <s v="0"/>
    <s v="20170118"/>
    <s v="10121012010102020001020200"/>
    <x v="1"/>
    <s v="0"/>
    <n v="1100447"/>
    <n v="11004.47"/>
    <x v="0"/>
  </r>
  <r>
    <s v="24"/>
    <s v="052"/>
    <s v="0024"/>
    <s v="55"/>
    <s v="55"/>
    <s v="00000000"/>
    <s v="000000"/>
    <s v="05023"/>
    <s v="20170119"/>
    <s v="0001"/>
    <s v="0"/>
    <s v="20170119"/>
    <s v="10121012010102020001020200"/>
    <x v="0"/>
    <s v="0"/>
    <n v="678763"/>
    <n v="-6787.63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721267"/>
    <n v="-7212.67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60000000"/>
    <n v="6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150000000"/>
    <n v="15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140000000"/>
    <n v="-1400000"/>
    <x v="0"/>
  </r>
  <r>
    <s v="24"/>
    <s v="052"/>
    <s v="0024"/>
    <s v="55"/>
    <s v="55"/>
    <s v="00000000"/>
    <s v="000000"/>
    <s v="05023"/>
    <s v="20170123"/>
    <s v="0001"/>
    <s v="0"/>
    <s v="20170123"/>
    <s v="10121012010102020001020200"/>
    <x v="0"/>
    <s v="0"/>
    <n v="667730"/>
    <n v="-6677.3"/>
    <x v="0"/>
  </r>
  <r>
    <s v="24"/>
    <s v="052"/>
    <s v="0024"/>
    <s v="55"/>
    <s v="55"/>
    <s v="00000000"/>
    <s v="000000"/>
    <s v="05023"/>
    <s v="20170124"/>
    <s v="0001"/>
    <s v="0"/>
    <s v="20170124"/>
    <s v="10121012010102020001020200"/>
    <x v="1"/>
    <s v="0"/>
    <n v="551007"/>
    <n v="5510.07"/>
    <x v="0"/>
  </r>
  <r>
    <s v="24"/>
    <s v="052"/>
    <s v="0024"/>
    <s v="55"/>
    <s v="55"/>
    <s v="00000000"/>
    <s v="000000"/>
    <s v="05023"/>
    <s v="20170125"/>
    <s v="0001"/>
    <s v="0"/>
    <s v="20170125"/>
    <s v="10121012010102020001020200"/>
    <x v="0"/>
    <s v="0"/>
    <n v="704491"/>
    <n v="-7044.91"/>
    <x v="0"/>
  </r>
  <r>
    <s v="24"/>
    <s v="052"/>
    <s v="0024"/>
    <s v="55"/>
    <s v="55"/>
    <s v="00000000"/>
    <s v="000000"/>
    <s v="05023"/>
    <s v="20170126"/>
    <s v="0001"/>
    <s v="0"/>
    <s v="20170126"/>
    <s v="10121012010102020001020200"/>
    <x v="1"/>
    <s v="0"/>
    <n v="448029"/>
    <n v="4480.29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548671"/>
    <n v="5486.7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44531"/>
    <n v="445.3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0"/>
    <s v="0"/>
    <n v="15000000"/>
    <n v="-150000"/>
    <x v="0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322038"/>
    <n v="13220.38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96300000"/>
    <n v="963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339669"/>
    <n v="-13396.69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5000000"/>
    <n v="-15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00000000"/>
    <n v="-1000000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1"/>
    <s v="0"/>
    <n v="50783"/>
    <n v="507.83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117998"/>
    <n v="-1179.98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2031162"/>
    <n v="-20311.62"/>
    <x v="1"/>
  </r>
  <r>
    <s v="24"/>
    <s v="052"/>
    <s v="0024"/>
    <s v="55"/>
    <s v="55"/>
    <s v="00000000"/>
    <s v="000000"/>
    <s v="05023"/>
    <s v="20170206"/>
    <s v="0001"/>
    <s v="0"/>
    <s v="20170206"/>
    <s v="10120101020200"/>
    <x v="1"/>
    <s v="0"/>
    <n v="116531"/>
    <n v="1165.31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126152"/>
    <n v="1261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50000000"/>
    <n v="500000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04536"/>
    <n v="-1045.3599999999999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365852"/>
    <n v="3658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5034745"/>
    <n v="-150347.45000000001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1"/>
    <s v="0"/>
    <n v="51388"/>
    <n v="513.88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0"/>
    <s v="0"/>
    <n v="14972336"/>
    <n v="-149723.35999999999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249575"/>
    <n v="2495.75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1"/>
    <s v="0"/>
    <n v="5424"/>
    <n v="54.24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248343"/>
    <n v="-2483.4299999999998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9849371"/>
    <n v="-98493.7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1"/>
    <s v="0"/>
    <n v="176710"/>
    <n v="1767.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20384720"/>
    <n v="-203847.2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50032644"/>
    <n v="-500326.44"/>
    <x v="1"/>
  </r>
  <r>
    <s v="24"/>
    <s v="052"/>
    <s v="0024"/>
    <s v="55"/>
    <s v="55"/>
    <s v="00000000"/>
    <s v="000000"/>
    <s v="05023"/>
    <s v="20170221"/>
    <s v="0001"/>
    <s v="0"/>
    <s v="20170221"/>
    <s v="10120101020200"/>
    <x v="0"/>
    <s v="0"/>
    <n v="2060591"/>
    <n v="-20605.91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1"/>
    <s v="0"/>
    <n v="350323"/>
    <n v="3503.23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053112"/>
    <n v="-10531.12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5023975"/>
    <n v="-150239.7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76686"/>
    <n v="4766.8599999999997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4705100"/>
    <n v="447051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33000188"/>
    <n v="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61931518"/>
    <n v="-619315.18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3000188"/>
    <n v="-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0244461"/>
    <n v="-302444.61"/>
    <x v="1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3125194"/>
    <n v="31251.94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2838430"/>
    <n v="28384.3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50000000"/>
    <n v="500000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3009228"/>
    <n v="-30092.28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20701433"/>
    <n v="-207014.33"/>
    <x v="3"/>
  </r>
  <r>
    <s v="24"/>
    <s v="052"/>
    <s v="0024"/>
    <s v="55"/>
    <s v="55"/>
    <s v="00000000"/>
    <s v="000000"/>
    <s v="05023"/>
    <s v="20170303"/>
    <s v="0001"/>
    <s v="0"/>
    <s v="20170303"/>
    <s v="10120101020200"/>
    <x v="0"/>
    <s v="0"/>
    <n v="270627"/>
    <n v="-2706.27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1"/>
    <s v="0"/>
    <n v="79948"/>
    <n v="799.48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0"/>
    <s v="0"/>
    <n v="97361"/>
    <n v="-973.61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8823"/>
    <n v="-288.23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122292"/>
    <n v="-11222.92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0000000"/>
    <n v="-20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70000000"/>
    <m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08800000"/>
    <m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20000000"/>
    <n v="200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178800000"/>
    <n v="1788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737987"/>
    <n v="-7379.87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1"/>
    <s v="0"/>
    <n v="178800000"/>
    <m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0"/>
    <s v="0"/>
    <n v="1521065"/>
    <n v="-15210.65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1821182"/>
    <n v="18211.8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225882"/>
    <n v="2258.820000000000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0"/>
    <s v="0"/>
    <n v="39462778"/>
    <n v="-394627.78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1"/>
    <s v="0"/>
    <n v="128701"/>
    <n v="1287.01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0"/>
    <s v="0"/>
    <n v="149318086"/>
    <n v="-1493180.86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313324"/>
    <n v="3133.24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574900"/>
    <n v="5749"/>
    <x v="3"/>
  </r>
  <r>
    <s v="24"/>
    <s v="052"/>
    <s v="0024"/>
    <s v="55"/>
    <s v="55"/>
    <s v="00000000"/>
    <s v="000000"/>
    <s v="05023"/>
    <s v="20170317"/>
    <s v="0001"/>
    <s v="0"/>
    <s v="20170317"/>
    <s v="10120101020200"/>
    <x v="0"/>
    <s v="0"/>
    <n v="84206"/>
    <n v="-842.06"/>
    <x v="3"/>
  </r>
  <r>
    <s v="24"/>
    <s v="052"/>
    <s v="0024"/>
    <s v="55"/>
    <s v="55"/>
    <s v="00000000"/>
    <s v="000000"/>
    <s v="05023"/>
    <s v="20170320"/>
    <s v="0001"/>
    <s v="0"/>
    <s v="20170320"/>
    <s v="10120101020200"/>
    <x v="0"/>
    <s v="0"/>
    <n v="186651"/>
    <n v="-1866.51"/>
    <x v="3"/>
  </r>
  <r>
    <s v="24"/>
    <s v="052"/>
    <s v="0024"/>
    <s v="55"/>
    <s v="55"/>
    <s v="00000000"/>
    <s v="000000"/>
    <s v="05023"/>
    <s v="20170321"/>
    <s v="0001"/>
    <s v="0"/>
    <s v="20170321"/>
    <s v="10120101020200"/>
    <x v="1"/>
    <s v="0"/>
    <n v="765681"/>
    <n v="7656.81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375253"/>
    <n v="3752.53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833200"/>
    <n v="8332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0"/>
    <s v="0"/>
    <n v="16523620"/>
    <n v="-165236.20000000001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37942"/>
    <n v="6379.42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63"/>
    <n v="6.63"/>
    <x v="3"/>
  </r>
  <r>
    <s v="24"/>
    <s v="052"/>
    <s v="0024"/>
    <s v="55"/>
    <s v="55"/>
    <s v="00000000"/>
    <s v="000000"/>
    <s v="05023"/>
    <s v="20170327"/>
    <s v="0001"/>
    <s v="0"/>
    <s v="20170327"/>
    <s v="10120101020200"/>
    <x v="0"/>
    <s v="0"/>
    <n v="387444"/>
    <n v="-3874.44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1"/>
    <s v="0"/>
    <n v="1317438"/>
    <n v="13174.38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394743"/>
    <n v="-3947.43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149973587"/>
    <n v="-1499735.87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1"/>
    <s v="0"/>
    <n v="15000000"/>
    <n v="150000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2330399"/>
    <n v="-23303.99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395823"/>
    <n v="-3958.23"/>
    <x v="3"/>
  </r>
  <r>
    <s v="24"/>
    <s v="052"/>
    <s v="0024"/>
    <s v="55"/>
    <s v="55"/>
    <s v="00000000"/>
    <s v="000000"/>
    <s v="05023"/>
    <s v="20170330"/>
    <s v="0001"/>
    <s v="0"/>
    <s v="20170330"/>
    <s v="10120101020200"/>
    <x v="1"/>
    <s v="0"/>
    <n v="2028030"/>
    <n v="20280.3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3523659"/>
    <n v="-35236.589999999997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49472750"/>
    <n v="-494727.5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1"/>
    <s v="0"/>
    <n v="200000000"/>
    <n v="2000000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850629"/>
    <n v="-8506.2900000000009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75000000"/>
    <n v="-750000"/>
    <x v="3"/>
  </r>
  <r>
    <s v="24"/>
    <s v="052"/>
    <s v="0024"/>
    <s v="55"/>
    <s v="55"/>
    <s v="00000000"/>
    <s v="000000"/>
    <s v="05023"/>
    <s v="20170403"/>
    <s v="0001"/>
    <s v="0"/>
    <s v="20170403"/>
    <s v="10120101020200"/>
    <x v="1"/>
    <s v="0"/>
    <n v="2897671"/>
    <n v="28976.71"/>
    <x v="4"/>
  </r>
  <r>
    <s v="24"/>
    <s v="052"/>
    <s v="0024"/>
    <s v="55"/>
    <s v="55"/>
    <s v="00000000"/>
    <s v="000000"/>
    <s v="05023"/>
    <s v="20170404"/>
    <s v="0001"/>
    <s v="0"/>
    <s v="20170404"/>
    <s v="10120101020200"/>
    <x v="1"/>
    <s v="0"/>
    <n v="105455"/>
    <n v="1054.55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1"/>
    <s v="0"/>
    <n v="412964"/>
    <n v="4129.6400000000003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0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119471"/>
    <n v="11194.71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5000000"/>
    <n v="150000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8500000"/>
    <n v="185000"/>
    <x v="4"/>
  </r>
  <r>
    <s v="24"/>
    <s v="052"/>
    <s v="0024"/>
    <s v="55"/>
    <s v="55"/>
    <s v="00000000"/>
    <s v="000000"/>
    <s v="05023"/>
    <s v="20170407"/>
    <s v="0001"/>
    <s v="0"/>
    <s v="20170407"/>
    <s v="10120101020200"/>
    <x v="0"/>
    <s v="0"/>
    <n v="2674370"/>
    <n v="-26743.7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1"/>
    <s v="0"/>
    <n v="150000000"/>
    <n v="1500000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0"/>
    <s v="0"/>
    <n v="8555"/>
    <n v="-85.55"/>
    <x v="4"/>
  </r>
  <r>
    <s v="24"/>
    <s v="052"/>
    <s v="0024"/>
    <s v="55"/>
    <s v="55"/>
    <s v="00000000"/>
    <s v="000000"/>
    <s v="05023"/>
    <s v="20170411"/>
    <s v="0001"/>
    <s v="0"/>
    <s v="20170411"/>
    <s v="10120101020200"/>
    <x v="1"/>
    <s v="0"/>
    <n v="2600141"/>
    <n v="26001.41"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1"/>
    <s v="0"/>
    <n v="6684686"/>
    <m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0"/>
    <s v="0"/>
    <n v="30156644"/>
    <n v="-301566.44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5491079"/>
    <n v="54910.79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634501"/>
    <n v="6345.01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m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n v="-66846.86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1"/>
    <s v="0"/>
    <n v="4107018"/>
    <n v="41070.18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0"/>
    <s v="0"/>
    <n v="5624645"/>
    <n v="-56246.45"/>
    <x v="4"/>
  </r>
  <r>
    <s v="24"/>
    <s v="052"/>
    <s v="0024"/>
    <s v="55"/>
    <s v="55"/>
    <s v="00000000"/>
    <s v="000000"/>
    <s v="05023"/>
    <s v="20170420"/>
    <s v="0001"/>
    <s v="0"/>
    <s v="20170420"/>
    <s v="10120101020200"/>
    <x v="0"/>
    <s v="0"/>
    <n v="2099330"/>
    <n v="-20993.3"/>
    <x v="4"/>
  </r>
  <r>
    <s v="24"/>
    <s v="052"/>
    <s v="0024"/>
    <s v="55"/>
    <s v="55"/>
    <s v="00000000"/>
    <s v="000000"/>
    <s v="05023"/>
    <s v="20170421"/>
    <s v="0001"/>
    <s v="0"/>
    <s v="20170421"/>
    <s v="10120101020200"/>
    <x v="1"/>
    <s v="0"/>
    <n v="878092"/>
    <n v="8780.9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485982"/>
    <n v="-4859.8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14783879"/>
    <n v="-147838.79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65355"/>
    <n v="1653.55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4727"/>
    <n v="-4447.2700000000004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832133"/>
    <n v="-448321.33"/>
    <x v="4"/>
  </r>
  <r>
    <s v="24"/>
    <s v="052"/>
    <s v="0024"/>
    <s v="55"/>
    <s v="55"/>
    <s v="00000000"/>
    <s v="000000"/>
    <s v="05023"/>
    <s v="20170427"/>
    <s v="0001"/>
    <s v="0"/>
    <s v="20170427"/>
    <s v="10120101020200"/>
    <x v="1"/>
    <s v="0"/>
    <n v="1634209"/>
    <n v="16342.09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1"/>
    <s v="0"/>
    <n v="1010793"/>
    <n v="10107.93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0"/>
    <s v="0"/>
    <n v="264525"/>
    <n v="-2645.25"/>
    <x v="4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67224"/>
    <n v="-1672.24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5000000"/>
    <n v="50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79500000"/>
    <n v="795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05435790"/>
    <n v="-1054357.8999999999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92311"/>
    <n v="1923.1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822690"/>
    <n v="18226.90000000000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0"/>
    <s v="0"/>
    <n v="19891827"/>
    <n v="-198918.27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490034"/>
    <n v="-4900.34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50939697"/>
    <n v="-509396.97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624528"/>
    <n v="6245.28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10"/>
    <s v="0001"/>
    <s v="0"/>
    <s v="20170510"/>
    <s v="10120101020200"/>
    <x v="0"/>
    <s v="0"/>
    <n v="1037386"/>
    <n v="-10373.86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494714"/>
    <n v="-4947.1400000000003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24814423"/>
    <n v="-248144.23"/>
    <x v="5"/>
  </r>
  <r>
    <s v="24"/>
    <s v="052"/>
    <s v="0024"/>
    <s v="55"/>
    <s v="55"/>
    <s v="00000000"/>
    <s v="000000"/>
    <s v="05023"/>
    <s v="20170512"/>
    <s v="0001"/>
    <s v="0"/>
    <s v="20170512"/>
    <s v="10120101020200"/>
    <x v="0"/>
    <s v="0"/>
    <n v="21260"/>
    <n v="-212.6"/>
    <x v="5"/>
  </r>
  <r>
    <s v="24"/>
    <s v="052"/>
    <s v="0024"/>
    <s v="55"/>
    <s v="55"/>
    <s v="00000000"/>
    <s v="000000"/>
    <s v="05023"/>
    <s v="20170515"/>
    <s v="0001"/>
    <s v="0"/>
    <s v="20170515"/>
    <s v="10120101020200"/>
    <x v="0"/>
    <s v="0"/>
    <n v="5187"/>
    <n v="-51.87"/>
    <x v="5"/>
  </r>
  <r>
    <s v="24"/>
    <s v="052"/>
    <s v="0024"/>
    <s v="55"/>
    <s v="55"/>
    <s v="00000000"/>
    <s v="000000"/>
    <s v="05023"/>
    <s v="20170516"/>
    <s v="0001"/>
    <s v="0"/>
    <s v="20170516"/>
    <s v="10120101020200"/>
    <x v="0"/>
    <s v="0"/>
    <n v="152443"/>
    <n v="-1524.43"/>
    <x v="5"/>
  </r>
  <r>
    <s v="24"/>
    <s v="052"/>
    <s v="0024"/>
    <s v="55"/>
    <s v="55"/>
    <s v="00000000"/>
    <s v="000000"/>
    <s v="05023"/>
    <s v="20170517"/>
    <s v="0001"/>
    <s v="0"/>
    <s v="20170517"/>
    <s v="10120101020200"/>
    <x v="1"/>
    <s v="0"/>
    <n v="299450"/>
    <n v="2994.5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1"/>
    <s v="0"/>
    <n v="384554"/>
    <n v="3845.54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0"/>
    <s v="0"/>
    <n v="35123383"/>
    <n v="-351233.83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929509"/>
    <n v="-9295.09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19965379"/>
    <n v="-199653.79"/>
    <x v="5"/>
  </r>
  <r>
    <s v="24"/>
    <s v="052"/>
    <s v="0024"/>
    <s v="55"/>
    <s v="55"/>
    <s v="00000000"/>
    <s v="000000"/>
    <s v="05023"/>
    <s v="20170522"/>
    <s v="0001"/>
    <s v="0"/>
    <s v="20170522"/>
    <s v="10120101020200"/>
    <x v="1"/>
    <s v="0"/>
    <n v="641526"/>
    <n v="6415.26"/>
    <x v="5"/>
  </r>
  <r>
    <s v="24"/>
    <s v="052"/>
    <s v="0024"/>
    <s v="55"/>
    <s v="55"/>
    <s v="00000000"/>
    <s v="000000"/>
    <s v="05023"/>
    <s v="20170523"/>
    <s v="0001"/>
    <s v="0"/>
    <s v="20170523"/>
    <s v="10120101020200"/>
    <x v="1"/>
    <s v="0"/>
    <n v="117770"/>
    <n v="1177.7"/>
    <x v="5"/>
  </r>
  <r>
    <s v="24"/>
    <s v="052"/>
    <s v="0024"/>
    <s v="55"/>
    <s v="55"/>
    <s v="00000000"/>
    <s v="000000"/>
    <s v="05023"/>
    <s v="20170524"/>
    <s v="0001"/>
    <s v="0"/>
    <s v="20170524"/>
    <s v="10120101020200"/>
    <x v="0"/>
    <s v="0"/>
    <n v="365424"/>
    <n v="-3654.24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637342"/>
    <n v="6373.42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200"/>
    <x v="0"/>
    <s v="0"/>
    <n v="786662"/>
    <n v="-7866.62"/>
    <x v="5"/>
  </r>
  <r>
    <s v="24"/>
    <s v="052"/>
    <s v="0024"/>
    <s v="55"/>
    <s v="55"/>
    <s v="00000000"/>
    <s v="000000"/>
    <s v="05023"/>
    <s v="20170529"/>
    <s v="0001"/>
    <s v="0"/>
    <s v="20170529"/>
    <s v="10120101020200"/>
    <x v="0"/>
    <s v="0"/>
    <n v="10505"/>
    <n v="-105.05"/>
    <x v="5"/>
  </r>
  <r>
    <s v="24"/>
    <s v="052"/>
    <s v="0024"/>
    <s v="55"/>
    <s v="55"/>
    <s v="00000000"/>
    <s v="000000"/>
    <s v="05023"/>
    <s v="20170530"/>
    <s v="0001"/>
    <s v="0"/>
    <s v="20170530"/>
    <s v="10120101020200"/>
    <x v="0"/>
    <s v="0"/>
    <n v="8416"/>
    <n v="-84.16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156270"/>
    <n v="21562.7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0000000"/>
    <n v="100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0"/>
    <s v="0"/>
    <n v="1938406"/>
    <n v="-19384.060000000001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900000"/>
    <n v="109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182917"/>
    <n v="1829.17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20000000"/>
    <n v="200000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40000000"/>
    <n v="400000"/>
    <x v="6"/>
  </r>
  <r>
    <s v="24"/>
    <s v="052"/>
    <s v="0024"/>
    <s v="55"/>
    <s v="55"/>
    <s v="00000000"/>
    <s v="000000"/>
    <s v="05023"/>
    <s v="20170605"/>
    <s v="0001"/>
    <s v="0"/>
    <s v="20170605"/>
    <s v="10120101020200"/>
    <x v="1"/>
    <s v="0"/>
    <n v="384224"/>
    <n v="3842.24"/>
    <x v="6"/>
  </r>
  <r>
    <s v="24"/>
    <s v="052"/>
    <s v="0024"/>
    <s v="55"/>
    <s v="55"/>
    <s v="00000000"/>
    <s v="000000"/>
    <s v="05023"/>
    <s v="20170606"/>
    <s v="0001"/>
    <s v="0"/>
    <s v="20170606"/>
    <s v="10120101020200"/>
    <x v="1"/>
    <s v="0"/>
    <n v="1700754"/>
    <n v="17007.54"/>
    <x v="6"/>
  </r>
  <r>
    <s v="24"/>
    <s v="052"/>
    <s v="0024"/>
    <s v="55"/>
    <s v="55"/>
    <s v="00000000"/>
    <s v="000000"/>
    <s v="05023"/>
    <s v="20170607"/>
    <s v="0001"/>
    <s v="0"/>
    <s v="20170607"/>
    <s v="10120101020200"/>
    <x v="1"/>
    <s v="0"/>
    <n v="1055734"/>
    <n v="10557.34"/>
    <x v="6"/>
  </r>
  <r>
    <s v="24"/>
    <s v="052"/>
    <s v="0024"/>
    <s v="55"/>
    <s v="55"/>
    <s v="00000000"/>
    <s v="000000"/>
    <s v="05023"/>
    <s v="20170608"/>
    <s v="0001"/>
    <s v="0"/>
    <s v="20170608"/>
    <s v="10120101020200"/>
    <x v="0"/>
    <s v="0"/>
    <n v="467859"/>
    <n v="-4678.59"/>
    <x v="6"/>
  </r>
  <r>
    <s v="24"/>
    <s v="052"/>
    <s v="0024"/>
    <s v="55"/>
    <s v="55"/>
    <s v="00000000"/>
    <s v="000000"/>
    <s v="05023"/>
    <s v="20170609"/>
    <s v="0001"/>
    <s v="0"/>
    <s v="20170609"/>
    <s v="10120101020200"/>
    <x v="0"/>
    <s v="0"/>
    <n v="640470"/>
    <n v="-6404.7"/>
    <x v="6"/>
  </r>
  <r>
    <s v="24"/>
    <s v="052"/>
    <s v="0024"/>
    <s v="55"/>
    <s v="55"/>
    <s v="00000000"/>
    <s v="000000"/>
    <s v="05023"/>
    <s v="20170612"/>
    <s v="0001"/>
    <s v="0"/>
    <s v="20170612"/>
    <s v="10120101020200"/>
    <x v="0"/>
    <s v="0"/>
    <n v="225196"/>
    <n v="-2251.96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1"/>
    <s v="0"/>
    <n v="178348"/>
    <n v="1783.48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0"/>
    <s v="0"/>
    <n v="100966292"/>
    <n v="-1009662.92"/>
    <x v="6"/>
  </r>
  <r>
    <s v="24"/>
    <s v="052"/>
    <s v="0024"/>
    <s v="55"/>
    <s v="55"/>
    <s v="00000000"/>
    <s v="000000"/>
    <s v="05023"/>
    <s v="20170614"/>
    <s v="0001"/>
    <s v="0"/>
    <s v="20170614"/>
    <s v="10120101020200"/>
    <x v="1"/>
    <s v="0"/>
    <n v="163793"/>
    <n v="1637.93"/>
    <x v="6"/>
  </r>
  <r>
    <s v="24"/>
    <s v="052"/>
    <s v="0024"/>
    <s v="55"/>
    <s v="55"/>
    <s v="00000000"/>
    <s v="000000"/>
    <s v="05023"/>
    <s v="20170615"/>
    <s v="0001"/>
    <s v="0"/>
    <s v="20170615"/>
    <s v="10120101020200"/>
    <x v="1"/>
    <s v="0"/>
    <n v="371588"/>
    <n v="3715.88"/>
    <x v="6"/>
  </r>
  <r>
    <s v="24"/>
    <s v="052"/>
    <s v="0024"/>
    <s v="55"/>
    <s v="55"/>
    <s v="00000000"/>
    <s v="000000"/>
    <s v="05023"/>
    <s v="20170616"/>
    <s v="0001"/>
    <s v="0"/>
    <s v="20170616"/>
    <s v="10120101020200"/>
    <x v="1"/>
    <s v="0"/>
    <n v="39684"/>
    <n v="396.84"/>
    <x v="6"/>
  </r>
  <r>
    <s v="24"/>
    <s v="052"/>
    <s v="0024"/>
    <s v="55"/>
    <s v="55"/>
    <s v="00000000"/>
    <s v="000000"/>
    <s v="05023"/>
    <s v="20170619"/>
    <s v="0001"/>
    <s v="0"/>
    <s v="20170619"/>
    <s v="10120101020200"/>
    <x v="1"/>
    <s v="0"/>
    <n v="68629"/>
    <n v="686.29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1"/>
    <s v="0"/>
    <n v="1136178"/>
    <n v="11361.78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1107407"/>
    <n v="-11074.07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40496832"/>
    <n v="-404968.32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1"/>
    <s v="0"/>
    <n v="585121"/>
    <n v="5851.21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488738"/>
    <n v="-4887.38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30250370"/>
    <n v="-302503.7"/>
    <x v="6"/>
  </r>
  <r>
    <s v="24"/>
    <s v="052"/>
    <s v="0024"/>
    <s v="55"/>
    <s v="55"/>
    <s v="00000000"/>
    <s v="000000"/>
    <s v="05023"/>
    <s v="20170626"/>
    <s v="0001"/>
    <s v="0"/>
    <s v="20170626"/>
    <s v="10120101020200"/>
    <x v="1"/>
    <s v="0"/>
    <n v="426163"/>
    <n v="4261.6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501395"/>
    <n v="5013.95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21800000"/>
    <n v="218000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461430"/>
    <n v="-4614.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15289322"/>
    <n v="-152893.22"/>
    <x v="6"/>
  </r>
  <r>
    <s v="24"/>
    <s v="052"/>
    <s v="0024"/>
    <s v="55"/>
    <s v="55"/>
    <s v="00000000"/>
    <s v="000000"/>
    <s v="05023"/>
    <s v="20170629"/>
    <s v="0001"/>
    <s v="0"/>
    <s v="20170629"/>
    <s v="10120101020200"/>
    <x v="1"/>
    <s v="0"/>
    <n v="558712"/>
    <n v="5587.12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135684"/>
    <n v="-1356.84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398245"/>
    <n v="-3982.45"/>
    <x v="6"/>
  </r>
  <r>
    <s v="24"/>
    <s v="052"/>
    <s v="0024"/>
    <s v="55"/>
    <s v="55"/>
    <s v="00000000"/>
    <s v="000000"/>
    <s v="05023"/>
    <s v="20170704"/>
    <s v="0001"/>
    <s v="0"/>
    <s v="20170704"/>
    <s v="10120101020200"/>
    <x v="0"/>
    <s v="0"/>
    <n v="618469"/>
    <n v="-6184.69"/>
    <x v="7"/>
  </r>
  <r>
    <s v="24"/>
    <s v="052"/>
    <s v="0024"/>
    <s v="55"/>
    <s v="55"/>
    <s v="00000000"/>
    <s v="000000"/>
    <s v="05023"/>
    <s v="20170705"/>
    <s v="0001"/>
    <s v="0"/>
    <s v="20170705"/>
    <s v="10120101020200"/>
    <x v="0"/>
    <s v="0"/>
    <n v="134369"/>
    <n v="-1343.69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1"/>
    <s v="0"/>
    <n v="1589694"/>
    <n v="15896.94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0"/>
    <s v="0"/>
    <n v="884444"/>
    <n v="-8844.44"/>
    <x v="7"/>
  </r>
  <r>
    <s v="24"/>
    <s v="052"/>
    <s v="0024"/>
    <s v="55"/>
    <s v="55"/>
    <s v="00000000"/>
    <s v="000000"/>
    <s v="05023"/>
    <s v="20170710"/>
    <s v="0001"/>
    <s v="0"/>
    <s v="20170710"/>
    <s v="10120101020200"/>
    <x v="0"/>
    <s v="0"/>
    <n v="368529"/>
    <n v="-3685.2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1"/>
    <s v="0"/>
    <n v="46289"/>
    <n v="462.8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0"/>
    <s v="0"/>
    <n v="30584221"/>
    <n v="-305842.21000000002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217083"/>
    <n v="-2170.83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50946389"/>
    <n v="-509463.89"/>
    <x v="7"/>
  </r>
  <r>
    <s v="24"/>
    <s v="052"/>
    <s v="0024"/>
    <s v="55"/>
    <s v="55"/>
    <s v="00000000"/>
    <s v="000000"/>
    <s v="05023"/>
    <s v="20170714"/>
    <s v="0001"/>
    <s v="0"/>
    <s v="20170714"/>
    <s v="10120101020200"/>
    <x v="1"/>
    <s v="0"/>
    <n v="1173684"/>
    <n v="11736.84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063191"/>
    <n v="10631.91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73501"/>
    <n v="1735.01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1"/>
    <s v="0"/>
    <n v="621205"/>
    <n v="6212.05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0"/>
    <s v="0"/>
    <n v="2126382"/>
    <n v="-21263.82"/>
    <x v="7"/>
  </r>
  <r>
    <s v="24"/>
    <s v="052"/>
    <s v="0024"/>
    <s v="55"/>
    <s v="55"/>
    <s v="00000000"/>
    <s v="000000"/>
    <s v="05023"/>
    <s v="20170720"/>
    <s v="0001"/>
    <s v="0"/>
    <s v="20170720"/>
    <s v="10120101020200"/>
    <x v="0"/>
    <s v="0"/>
    <n v="5037"/>
    <n v="-50.37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9400000"/>
    <n v="194000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310162"/>
    <n v="3101.62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0074"/>
    <n v="100.74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0"/>
    <s v="0"/>
    <n v="571712"/>
    <n v="-5717.12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1"/>
    <s v="0"/>
    <n v="1616930"/>
    <n v="16169.3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0"/>
    <s v="0"/>
    <n v="620324"/>
    <n v="-6203.2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1"/>
    <s v="0"/>
    <n v="280000000"/>
    <n v="2800000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61286834"/>
    <n v="-612868.3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1271717"/>
    <n v="-12717.17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1"/>
    <s v="0"/>
    <n v="515562"/>
    <n v="5155.62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0"/>
    <s v="0"/>
    <n v="522654"/>
    <n v="-5226.54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435092"/>
    <n v="4350.92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108879510"/>
    <m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1"/>
    <s v="0"/>
    <n v="6325"/>
    <n v="63.2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44285"/>
    <n v="-1442.8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5346800"/>
    <n v="-153468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0"/>
    <s v="0"/>
    <n v="108879510"/>
    <m/>
    <x v="7"/>
  </r>
  <r>
    <s v="24"/>
    <s v="052"/>
    <s v="0024"/>
    <s v="55"/>
    <s v="55"/>
    <s v="00000000"/>
    <s v="000000"/>
    <s v="05023"/>
    <s v="20170802"/>
    <s v="0001"/>
    <s v="0"/>
    <s v="20170802"/>
    <s v="10120101020200"/>
    <x v="1"/>
    <s v="0"/>
    <n v="55587"/>
    <n v="555.87"/>
    <x v="8"/>
  </r>
  <r>
    <s v="24"/>
    <s v="052"/>
    <s v="0024"/>
    <s v="55"/>
    <s v="55"/>
    <s v="00000000"/>
    <s v="000000"/>
    <s v="05023"/>
    <s v="20170802"/>
    <s v="0001"/>
    <s v="0"/>
    <s v="20170802"/>
    <s v="10120101020200"/>
    <x v="0"/>
    <s v="0"/>
    <n v="25192159"/>
    <n v="-251921.59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124898185"/>
    <n v="-1248981.8500000001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408834"/>
    <n v="-4088.34"/>
    <x v="8"/>
  </r>
  <r>
    <s v="24"/>
    <s v="052"/>
    <s v="0024"/>
    <s v="55"/>
    <s v="55"/>
    <s v="00000000"/>
    <s v="000000"/>
    <s v="05023"/>
    <s v="20170804"/>
    <s v="0001"/>
    <s v="0"/>
    <s v="20170804"/>
    <s v="10120101020200"/>
    <x v="1"/>
    <s v="0"/>
    <n v="785100"/>
    <n v="7851"/>
    <x v="8"/>
  </r>
  <r>
    <s v="24"/>
    <s v="052"/>
    <s v="0024"/>
    <s v="55"/>
    <s v="55"/>
    <s v="00000000"/>
    <s v="000000"/>
    <s v="05023"/>
    <s v="20170807"/>
    <s v="0001"/>
    <s v="0"/>
    <s v="20170807"/>
    <s v="10120101020200"/>
    <x v="1"/>
    <s v="0"/>
    <n v="235832"/>
    <n v="2358.3200000000002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25138"/>
    <n v="251.38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75000000"/>
    <n v="750000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1"/>
    <s v="0"/>
    <n v="116804"/>
    <n v="1168.04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321965"/>
    <n v="-3219.65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23647652"/>
    <n v="-236476.52"/>
    <x v="8"/>
  </r>
  <r>
    <s v="24"/>
    <s v="052"/>
    <s v="0024"/>
    <s v="55"/>
    <s v="55"/>
    <s v="00000000"/>
    <s v="000000"/>
    <s v="05023"/>
    <s v="20170811"/>
    <s v="0001"/>
    <s v="0"/>
    <s v="20170811"/>
    <s v="10120101020200"/>
    <x v="0"/>
    <s v="0"/>
    <n v="21244"/>
    <n v="-212.44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1"/>
    <s v="0"/>
    <n v="156535"/>
    <n v="1565.35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38302000"/>
    <m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38302000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0"/>
    <s v="0"/>
    <n v="211228"/>
    <n v="-2112.2800000000002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20405"/>
    <n v="-1204.05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5047183"/>
    <n v="-150471.82999999999"/>
    <x v="8"/>
  </r>
  <r>
    <s v="24"/>
    <s v="052"/>
    <s v="0024"/>
    <s v="55"/>
    <s v="55"/>
    <s v="00000000"/>
    <s v="000000"/>
    <s v="05023"/>
    <s v="20170817"/>
    <s v="0001"/>
    <s v="0"/>
    <s v="20170817"/>
    <s v="10120101020200"/>
    <x v="1"/>
    <s v="0"/>
    <n v="149497"/>
    <n v="1494.97"/>
    <x v="8"/>
  </r>
  <r>
    <s v="24"/>
    <s v="052"/>
    <s v="0024"/>
    <s v="55"/>
    <s v="55"/>
    <s v="00000000"/>
    <s v="000000"/>
    <s v="05023"/>
    <s v="20170818"/>
    <s v="0001"/>
    <s v="0"/>
    <s v="20170818"/>
    <s v="10120101020200"/>
    <x v="0"/>
    <s v="0"/>
    <n v="58578"/>
    <n v="-585.78"/>
    <x v="8"/>
  </r>
  <r>
    <s v="24"/>
    <s v="052"/>
    <s v="0024"/>
    <s v="55"/>
    <s v="55"/>
    <s v="00000000"/>
    <s v="000000"/>
    <s v="05023"/>
    <s v="20170821"/>
    <s v="0001"/>
    <s v="0"/>
    <s v="20170821"/>
    <s v="10120101020200"/>
    <x v="0"/>
    <s v="0"/>
    <n v="133624"/>
    <n v="-1336.24"/>
    <x v="8"/>
  </r>
  <r>
    <s v="24"/>
    <s v="052"/>
    <s v="0024"/>
    <s v="55"/>
    <s v="55"/>
    <s v="00000000"/>
    <s v="000000"/>
    <s v="05023"/>
    <s v="20170822"/>
    <s v="0001"/>
    <s v="0"/>
    <s v="20170822"/>
    <s v="10120101020200"/>
    <x v="1"/>
    <s v="0"/>
    <n v="16416"/>
    <n v="164.16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77691"/>
    <n v="776.91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84527"/>
    <n v="1845.27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25"/>
    <s v="0001"/>
    <s v="0"/>
    <s v="20170825"/>
    <s v="10120101020200"/>
    <x v="1"/>
    <s v="0"/>
    <n v="407920"/>
    <n v="4079.2"/>
    <x v="8"/>
  </r>
  <r>
    <s v="24"/>
    <s v="052"/>
    <s v="0024"/>
    <s v="55"/>
    <s v="55"/>
    <s v="00000000"/>
    <s v="000000"/>
    <s v="05023"/>
    <s v="20170828"/>
    <s v="0001"/>
    <s v="0"/>
    <s v="20170828"/>
    <s v="10120101020200"/>
    <x v="0"/>
    <s v="0"/>
    <n v="327572"/>
    <n v="-3275.72"/>
    <x v="8"/>
  </r>
  <r>
    <s v="24"/>
    <s v="052"/>
    <s v="0024"/>
    <s v="55"/>
    <s v="55"/>
    <s v="00000000"/>
    <s v="000000"/>
    <s v="05023"/>
    <s v="20170829"/>
    <s v="0001"/>
    <s v="0"/>
    <s v="20170829"/>
    <s v="10120101020200"/>
    <x v="1"/>
    <s v="0"/>
    <n v="776429"/>
    <n v="7764.29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196252"/>
    <n v="-1962.52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35182654"/>
    <n v="-351826.54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237993"/>
    <n v="2379.9299999999998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0"/>
    <s v="0"/>
    <n v="60380"/>
    <n v="-603.79999999999995"/>
    <x v="8"/>
  </r>
  <r>
    <s v="24"/>
    <s v="052"/>
    <s v="0024"/>
    <s v="55"/>
    <s v="55"/>
    <s v="00000000"/>
    <s v="000000"/>
    <s v="05022"/>
    <s v="20170904"/>
    <s v="0001"/>
    <s v="0"/>
    <s v="20170904"/>
    <s v="10120101020200"/>
    <x v="0"/>
    <s v="0"/>
    <n v="437952"/>
    <n v="-4379.5200000000004"/>
    <x v="9"/>
  </r>
  <r>
    <s v="24"/>
    <s v="052"/>
    <s v="0024"/>
    <s v="55"/>
    <s v="55"/>
    <s v="00000000"/>
    <s v="000000"/>
    <s v="05022"/>
    <s v="20170905"/>
    <s v="0001"/>
    <s v="0"/>
    <s v="20170905"/>
    <s v="10120101020200"/>
    <x v="0"/>
    <s v="0"/>
    <n v="241758"/>
    <n v="-2417.58"/>
    <x v="9"/>
  </r>
  <r>
    <s v="24"/>
    <s v="052"/>
    <s v="0024"/>
    <s v="55"/>
    <s v="55"/>
    <s v="00000000"/>
    <s v="000000"/>
    <s v="05022"/>
    <s v="20170906"/>
    <s v="0001"/>
    <s v="0"/>
    <s v="20170906"/>
    <s v="10120101020200"/>
    <x v="1"/>
    <s v="0"/>
    <n v="16135"/>
    <n v="161.35"/>
    <x v="9"/>
  </r>
  <r>
    <s v="24"/>
    <s v="052"/>
    <s v="0024"/>
    <s v="55"/>
    <s v="55"/>
    <s v="00000000"/>
    <s v="000000"/>
    <s v="05022"/>
    <s v="20170907"/>
    <s v="0001"/>
    <s v="0"/>
    <s v="20170907"/>
    <s v="10120101020200"/>
    <x v="1"/>
    <s v="0"/>
    <n v="606404"/>
    <n v="6064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0"/>
    <s v="0"/>
    <n v="104304"/>
    <n v="-1043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130556"/>
    <n v="1305.56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2"/>
    <s v="0001"/>
    <s v="0"/>
    <s v="20170912"/>
    <s v="10120101020200"/>
    <x v="0"/>
    <s v="0"/>
    <n v="899392"/>
    <n v="-8993.92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590974"/>
    <n v="5909.74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17800000"/>
    <n v="178000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0"/>
    <s v="0"/>
    <n v="15076631"/>
    <n v="-150766.31"/>
    <x v="9"/>
  </r>
  <r>
    <s v="24"/>
    <s v="052"/>
    <s v="0024"/>
    <s v="55"/>
    <s v="55"/>
    <s v="00000000"/>
    <s v="000000"/>
    <s v="05022"/>
    <s v="20170914"/>
    <s v="0001"/>
    <s v="0"/>
    <s v="20170914"/>
    <s v="10120101020200"/>
    <x v="0"/>
    <s v="0"/>
    <n v="46751"/>
    <n v="-467.51"/>
    <x v="9"/>
  </r>
  <r>
    <s v="24"/>
    <s v="052"/>
    <s v="0024"/>
    <s v="55"/>
    <s v="55"/>
    <s v="00000000"/>
    <s v="000000"/>
    <s v="05022"/>
    <s v="20170915"/>
    <s v="0001"/>
    <s v="0"/>
    <s v="20170915"/>
    <s v="10120101020200"/>
    <x v="1"/>
    <s v="0"/>
    <n v="93003"/>
    <n v="930.03"/>
    <x v="9"/>
  </r>
  <r>
    <s v="24"/>
    <s v="052"/>
    <s v="0024"/>
    <s v="55"/>
    <s v="55"/>
    <s v="00000000"/>
    <s v="000000"/>
    <s v="05022"/>
    <s v="20170918"/>
    <s v="0001"/>
    <s v="0"/>
    <s v="20170918"/>
    <s v="10120101020200"/>
    <x v="0"/>
    <s v="0"/>
    <n v="279344"/>
    <n v="-2793.44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1"/>
    <s v="0"/>
    <n v="132132"/>
    <n v="1321.32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0"/>
    <s v="0"/>
    <n v="99973462"/>
    <n v="-999734.62"/>
    <x v="9"/>
  </r>
  <r>
    <s v="24"/>
    <s v="052"/>
    <s v="0024"/>
    <s v="55"/>
    <s v="55"/>
    <s v="00000000"/>
    <s v="000000"/>
    <s v="05022"/>
    <s v="20170920"/>
    <s v="0001"/>
    <s v="0"/>
    <s v="20170920"/>
    <s v="10120101020200"/>
    <x v="0"/>
    <s v="0"/>
    <n v="442033"/>
    <n v="-4420.33"/>
    <x v="9"/>
  </r>
  <r>
    <s v="24"/>
    <s v="052"/>
    <s v="0024"/>
    <s v="55"/>
    <s v="55"/>
    <s v="00000000"/>
    <s v="000000"/>
    <s v="05022"/>
    <s v="20170921"/>
    <s v="0001"/>
    <s v="0"/>
    <s v="20170921"/>
    <s v="10120101020200"/>
    <x v="0"/>
    <s v="0"/>
    <n v="1192479"/>
    <n v="-11924.79"/>
    <x v="9"/>
  </r>
  <r>
    <s v="24"/>
    <s v="052"/>
    <s v="0024"/>
    <s v="55"/>
    <s v="55"/>
    <s v="00000000"/>
    <s v="000000"/>
    <s v="05022"/>
    <s v="20170922"/>
    <s v="0001"/>
    <s v="0"/>
    <s v="20170922"/>
    <s v="10120101020200"/>
    <x v="1"/>
    <s v="0"/>
    <n v="1308181"/>
    <n v="13081.81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61324"/>
    <n v="1613.24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5000000"/>
    <n v="150000"/>
    <x v="9"/>
  </r>
  <r>
    <s v="24"/>
    <s v="052"/>
    <s v="0024"/>
    <s v="55"/>
    <s v="55"/>
    <s v="00000000"/>
    <s v="000000"/>
    <s v="05022"/>
    <s v="20170926"/>
    <s v="0001"/>
    <s v="0"/>
    <s v="20170926"/>
    <s v="10120101020200"/>
    <x v="1"/>
    <s v="0"/>
    <n v="186551"/>
    <n v="1865.51"/>
    <x v="9"/>
  </r>
  <r>
    <s v="24"/>
    <s v="052"/>
    <s v="0024"/>
    <s v="55"/>
    <s v="55"/>
    <s v="00000000"/>
    <s v="000000"/>
    <s v="05022"/>
    <s v="20170927"/>
    <s v="0001"/>
    <s v="0"/>
    <s v="20170927"/>
    <s v="10120101020200"/>
    <x v="0"/>
    <s v="0"/>
    <n v="475603"/>
    <n v="-4756.03"/>
    <x v="9"/>
  </r>
  <r>
    <s v="24"/>
    <s v="052"/>
    <s v="0024"/>
    <s v="55"/>
    <s v="55"/>
    <s v="00000000"/>
    <s v="000000"/>
    <s v="05022"/>
    <s v="20170928"/>
    <s v="0001"/>
    <s v="0"/>
    <s v="20170928"/>
    <s v="10120101020200"/>
    <x v="1"/>
    <s v="0"/>
    <n v="989359"/>
    <n v="9893.59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2105"/>
    <n v="221.05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70185"/>
    <n v="2701.85"/>
    <x v="9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3"/>
    <s v="0001"/>
    <s v="0"/>
    <s v="20171003"/>
    <s v="10120101020200"/>
    <x v="0"/>
    <s v="0"/>
    <n v="260403"/>
    <n v="-2604.0300000000002"/>
    <x v="10"/>
  </r>
  <r>
    <s v="24"/>
    <s v="052"/>
    <s v="0024"/>
    <s v="55"/>
    <s v="55"/>
    <s v="00000000"/>
    <s v="000000"/>
    <s v="05022"/>
    <s v="20171004"/>
    <s v="0001"/>
    <s v="0"/>
    <s v="20171004"/>
    <s v="10120101020200"/>
    <x v="1"/>
    <s v="0"/>
    <n v="374854"/>
    <n v="3748.54"/>
    <x v="10"/>
  </r>
  <r>
    <s v="24"/>
    <s v="052"/>
    <s v="0024"/>
    <s v="55"/>
    <s v="55"/>
    <s v="00000000"/>
    <s v="000000"/>
    <s v="05022"/>
    <s v="20171005"/>
    <s v="0001"/>
    <s v="0"/>
    <s v="20171005"/>
    <s v="10120101020200"/>
    <x v="0"/>
    <s v="0"/>
    <n v="1168334"/>
    <n v="-11683.34"/>
    <x v="10"/>
  </r>
  <r>
    <s v="24"/>
    <s v="052"/>
    <s v="0024"/>
    <s v="55"/>
    <s v="55"/>
    <s v="00000000"/>
    <s v="000000"/>
    <s v="05022"/>
    <s v="20171006"/>
    <s v="0001"/>
    <s v="0"/>
    <s v="20171006"/>
    <s v="10120101020200"/>
    <x v="1"/>
    <s v="0"/>
    <n v="899093"/>
    <n v="8990.93"/>
    <x v="10"/>
  </r>
  <r>
    <s v="24"/>
    <s v="052"/>
    <s v="0024"/>
    <s v="55"/>
    <s v="55"/>
    <s v="00000000"/>
    <s v="000000"/>
    <s v="05022"/>
    <s v="20171009"/>
    <s v="0001"/>
    <s v="0"/>
    <s v="20171009"/>
    <s v="10120101020200"/>
    <x v="0"/>
    <s v="0"/>
    <n v="492483"/>
    <n v="-4924.83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171576"/>
    <n v="1715.76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340874"/>
    <n v="3408.74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0"/>
    <s v="0"/>
    <n v="1155799"/>
    <n v="-11557.99"/>
    <x v="10"/>
  </r>
  <r>
    <s v="24"/>
    <s v="052"/>
    <s v="0024"/>
    <s v="55"/>
    <s v="55"/>
    <s v="00000000"/>
    <s v="000000"/>
    <s v="05022"/>
    <s v="20171013"/>
    <s v="0001"/>
    <s v="0"/>
    <s v="20171013"/>
    <s v="10120101020200"/>
    <x v="1"/>
    <s v="0"/>
    <n v="758620"/>
    <n v="7586.2"/>
    <x v="10"/>
  </r>
  <r>
    <s v="24"/>
    <s v="052"/>
    <s v="0024"/>
    <s v="55"/>
    <s v="55"/>
    <s v="00000000"/>
    <s v="000000"/>
    <s v="05022"/>
    <s v="20171016"/>
    <s v="0001"/>
    <s v="0"/>
    <s v="20171016"/>
    <s v="10120101020200"/>
    <x v="0"/>
    <s v="0"/>
    <n v="150275"/>
    <n v="-1502.75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0"/>
    <s v="0"/>
    <n v="38661"/>
    <n v="-386.61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1"/>
    <s v="0"/>
    <n v="55000000"/>
    <n v="550000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773815"/>
    <n v="7738.15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47500000"/>
    <n v="475000"/>
    <x v="10"/>
  </r>
  <r>
    <s v="24"/>
    <s v="052"/>
    <s v="0024"/>
    <s v="55"/>
    <s v="55"/>
    <s v="00000000"/>
    <s v="000000"/>
    <s v="05022"/>
    <s v="20171019"/>
    <s v="0001"/>
    <s v="0"/>
    <s v="20171019"/>
    <s v="10120101020200"/>
    <x v="0"/>
    <s v="0"/>
    <n v="955974"/>
    <n v="-9559.74"/>
    <x v="10"/>
  </r>
  <r>
    <s v="24"/>
    <s v="052"/>
    <s v="0024"/>
    <s v="55"/>
    <s v="55"/>
    <s v="00000000"/>
    <s v="000000"/>
    <s v="05022"/>
    <s v="20171020"/>
    <s v="0001"/>
    <s v="0"/>
    <s v="20171020"/>
    <s v="10120101020200"/>
    <x v="0"/>
    <s v="0"/>
    <n v="7439"/>
    <n v="-74.39"/>
    <x v="10"/>
  </r>
  <r>
    <s v="24"/>
    <s v="052"/>
    <s v="0024"/>
    <s v="55"/>
    <s v="55"/>
    <s v="00000000"/>
    <s v="000000"/>
    <s v="05022"/>
    <s v="20171023"/>
    <s v="0001"/>
    <s v="0"/>
    <s v="20171023"/>
    <s v="10120101020200"/>
    <x v="1"/>
    <s v="0"/>
    <n v="513410"/>
    <n v="5134.1000000000004"/>
    <x v="10"/>
  </r>
  <r>
    <s v="24"/>
    <s v="052"/>
    <s v="0024"/>
    <s v="55"/>
    <s v="55"/>
    <s v="00000000"/>
    <s v="000000"/>
    <s v="05022"/>
    <s v="20171024"/>
    <s v="0001"/>
    <s v="0"/>
    <s v="20171024"/>
    <s v="10120101020200"/>
    <x v="1"/>
    <s v="0"/>
    <n v="212008"/>
    <n v="2120.08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009371"/>
    <n v="-10093.70999999999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80997049"/>
    <n v="-809970.4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5184817"/>
    <n v="-151848.17000000001"/>
    <x v="10"/>
  </r>
  <r>
    <s v="24"/>
    <s v="052"/>
    <s v="0024"/>
    <s v="55"/>
    <s v="55"/>
    <s v="00000000"/>
    <s v="000000"/>
    <s v="05022"/>
    <s v="20171026"/>
    <s v="0001"/>
    <s v="0"/>
    <s v="20171026"/>
    <s v="10120101020200"/>
    <x v="1"/>
    <s v="0"/>
    <n v="72940"/>
    <n v="729.4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1773394"/>
    <n v="-17733.939999999999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34843143"/>
    <n v="-348431.43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1256155"/>
    <n v="12561.55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30000000"/>
    <n v="300000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1"/>
    <s v="0"/>
    <n v="770205"/>
    <n v="7702.05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0"/>
    <s v="0"/>
    <n v="557360"/>
    <n v="-5573.6"/>
    <x v="10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40899"/>
    <n v="1408.99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35000000"/>
    <n v="1350000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0"/>
    <s v="0"/>
    <n v="139885369"/>
    <n v="-1398853.69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92644"/>
    <n v="926.44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10000000"/>
    <n v="100000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0"/>
    <s v="0"/>
    <n v="203557"/>
    <n v="-2035.57"/>
    <x v="11"/>
  </r>
  <r>
    <s v="24"/>
    <s v="052"/>
    <s v="0024"/>
    <s v="55"/>
    <s v="55"/>
    <s v="00000000"/>
    <s v="000000"/>
    <s v="05022"/>
    <s v="20171108"/>
    <s v="0001"/>
    <s v="0"/>
    <s v="20171108"/>
    <s v="10120101020200"/>
    <x v="0"/>
    <s v="0"/>
    <n v="111791"/>
    <n v="-1117.91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200"/>
    <x v="1"/>
    <s v="0"/>
    <n v="8349"/>
    <n v="83.49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16427"/>
    <n v="164.27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108200000"/>
    <n v="1082000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30527"/>
    <n v="305.27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7"/>
    <s v="0001"/>
    <s v="0"/>
    <s v="20171117"/>
    <s v="10120101020200"/>
    <x v="0"/>
    <s v="0"/>
    <n v="10029814"/>
    <n v="-100298.14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50000000"/>
    <n v="500000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74542843"/>
    <n v="-745428.43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545557"/>
    <n v="-5455.57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169662"/>
    <n v="1696.62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0"/>
    <s v="0"/>
    <n v="14904840"/>
    <n v="-149048.4"/>
    <x v="11"/>
  </r>
  <r>
    <s v="24"/>
    <s v="052"/>
    <s v="0024"/>
    <s v="55"/>
    <s v="55"/>
    <s v="00000000"/>
    <s v="000000"/>
    <s v="05023"/>
    <s v="20171121"/>
    <s v="0001"/>
    <s v="0"/>
    <s v="20171121"/>
    <s v="10120101020200"/>
    <x v="1"/>
    <s v="0"/>
    <n v="2216074"/>
    <n v="22160.74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1"/>
    <s v="0"/>
    <n v="199270"/>
    <n v="1992.7"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50000000"/>
    <m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20049242"/>
    <n v="-200492.42"/>
    <x v="11"/>
  </r>
  <r>
    <s v="24"/>
    <s v="052"/>
    <s v="0024"/>
    <s v="55"/>
    <s v="55"/>
    <s v="00000000"/>
    <s v="000000"/>
    <s v="05022"/>
    <s v="20171123"/>
    <s v="0001"/>
    <s v="0"/>
    <s v="20171123"/>
    <s v="10120101020200"/>
    <x v="1"/>
    <s v="0"/>
    <n v="20000000"/>
    <n v="200000"/>
    <x v="11"/>
  </r>
  <r>
    <s v="24"/>
    <s v="052"/>
    <s v="0024"/>
    <s v="55"/>
    <s v="55"/>
    <s v="00000000"/>
    <s v="000000"/>
    <s v="05023"/>
    <s v="20171123"/>
    <s v="0001"/>
    <s v="0"/>
    <s v="20171123"/>
    <s v="10120101020200"/>
    <x v="0"/>
    <s v="0"/>
    <n v="3645381"/>
    <n v="-36453.81"/>
    <x v="11"/>
  </r>
  <r>
    <s v="24"/>
    <s v="052"/>
    <s v="0024"/>
    <s v="55"/>
    <s v="55"/>
    <s v="00000000"/>
    <s v="000000"/>
    <s v="05022"/>
    <s v="20171124"/>
    <s v="0001"/>
    <s v="0"/>
    <s v="20171124"/>
    <s v="10120101020200"/>
    <x v="0"/>
    <s v="0"/>
    <n v="407466"/>
    <n v="-4074.66"/>
    <x v="11"/>
  </r>
  <r>
    <s v="24"/>
    <s v="052"/>
    <s v="0024"/>
    <s v="55"/>
    <s v="55"/>
    <s v="00000000"/>
    <s v="000000"/>
    <s v="05022"/>
    <s v="20171127"/>
    <s v="0001"/>
    <s v="0"/>
    <s v="20171127"/>
    <s v="10120101020200"/>
    <x v="1"/>
    <s v="0"/>
    <n v="1230765"/>
    <n v="12307.65"/>
    <x v="11"/>
  </r>
  <r>
    <s v="24"/>
    <s v="052"/>
    <s v="0024"/>
    <s v="55"/>
    <s v="55"/>
    <s v="00000000"/>
    <s v="000000"/>
    <s v="05023"/>
    <s v="20171129"/>
    <s v="0001"/>
    <s v="0"/>
    <s v="20171129"/>
    <s v="10120101020200"/>
    <x v="0"/>
    <s v="0"/>
    <n v="2022608"/>
    <n v="-20226.080000000002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503867"/>
    <n v="5038.67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702068"/>
    <n v="7020.68"/>
    <x v="11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318512"/>
    <n v="3185.12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50000000"/>
    <n v="500000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0"/>
    <s v="0"/>
    <n v="24794392"/>
    <n v="-247943.92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180112"/>
    <n v="-1801.12"/>
    <x v="12"/>
  </r>
  <r>
    <s v="24"/>
    <s v="052"/>
    <s v="0024"/>
    <s v="55"/>
    <s v="55"/>
    <s v="00000000"/>
    <s v="000000"/>
    <s v="05023"/>
    <s v="20171205"/>
    <s v="0001"/>
    <s v="0"/>
    <s v="20171205"/>
    <s v="10120101020200"/>
    <x v="1"/>
    <s v="0"/>
    <n v="400000000"/>
    <n v="4000000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379934740"/>
    <n v="-3799347.4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0"/>
    <s v="0"/>
    <n v="1508083"/>
    <n v="-15080.83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07"/>
    <s v="0001"/>
    <s v="0"/>
    <s v="20171207"/>
    <s v="10120101020200"/>
    <x v="1"/>
    <s v="0"/>
    <n v="952623"/>
    <n v="9526.23"/>
    <x v="12"/>
  </r>
  <r>
    <s v="24"/>
    <s v="052"/>
    <s v="0024"/>
    <s v="55"/>
    <s v="55"/>
    <s v="00000000"/>
    <s v="000000"/>
    <s v="05022"/>
    <s v="20171211"/>
    <s v="0001"/>
    <s v="0"/>
    <s v="20171211"/>
    <s v="10120101020200"/>
    <x v="0"/>
    <s v="0"/>
    <n v="8449"/>
    <n v="-84.49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75063"/>
    <n v="750.63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33047808"/>
    <n v="-330478.08000000002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30000000"/>
    <n v="3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40000000"/>
    <n v="4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14799215"/>
    <n v="-147992.15"/>
    <x v="12"/>
  </r>
  <r>
    <s v="24"/>
    <s v="052"/>
    <s v="0024"/>
    <s v="55"/>
    <s v="55"/>
    <s v="00000000"/>
    <s v="000000"/>
    <s v="05023"/>
    <s v="20171213"/>
    <s v="0001"/>
    <s v="0"/>
    <s v="20171213"/>
    <s v="10120101020200"/>
    <x v="0"/>
    <s v="0"/>
    <n v="2166501"/>
    <n v="-21665.01"/>
    <x v="12"/>
  </r>
  <r>
    <s v="24"/>
    <s v="052"/>
    <s v="0024"/>
    <s v="55"/>
    <s v="55"/>
    <s v="00000000"/>
    <s v="000000"/>
    <s v="05022"/>
    <s v="20171214"/>
    <s v="0001"/>
    <s v="0"/>
    <s v="20171214"/>
    <s v="10120101020200"/>
    <x v="0"/>
    <s v="0"/>
    <n v="416252"/>
    <n v="-4162.5200000000004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1386773"/>
    <n v="13867.73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1"/>
    <s v="0"/>
    <n v="479247"/>
    <n v="4792.47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0"/>
    <s v="0"/>
    <n v="19992400"/>
    <n v="-199924"/>
    <x v="12"/>
  </r>
  <r>
    <s v="24"/>
    <s v="052"/>
    <s v="0024"/>
    <s v="55"/>
    <s v="55"/>
    <s v="00000000"/>
    <s v="000000"/>
    <s v="05022"/>
    <s v="20171219"/>
    <s v="0001"/>
    <s v="0"/>
    <s v="20171219"/>
    <s v="10120101020200"/>
    <x v="0"/>
    <s v="0"/>
    <n v="558568"/>
    <n v="-5585.68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0"/>
    <s v="0"/>
    <n v="462577"/>
    <n v="-4625.7700000000004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1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1"/>
    <s v="0"/>
    <n v="6699"/>
    <n v="66.989999999999995"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0"/>
    <s v="0"/>
    <n v="623537"/>
    <n v="-6235.37"/>
    <x v="12"/>
  </r>
  <r>
    <s v="24"/>
    <s v="052"/>
    <s v="0024"/>
    <s v="55"/>
    <s v="55"/>
    <s v="00000000"/>
    <s v="000000"/>
    <s v="05022"/>
    <s v="20171226"/>
    <s v="0001"/>
    <s v="0"/>
    <s v="20171226"/>
    <s v="10120101020200"/>
    <x v="1"/>
    <s v="0"/>
    <n v="1985003"/>
    <n v="19850.03"/>
    <x v="12"/>
  </r>
  <r>
    <s v="24"/>
    <s v="052"/>
    <s v="0024"/>
    <s v="55"/>
    <s v="55"/>
    <s v="00000000"/>
    <s v="000000"/>
    <s v="05022"/>
    <s v="20171227"/>
    <s v="0001"/>
    <s v="0"/>
    <s v="20171227"/>
    <s v="10120101020200"/>
    <x v="0"/>
    <s v="0"/>
    <n v="1857797"/>
    <n v="-18577.97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251933"/>
    <n v="-2519.33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24500000"/>
    <n v="24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45500000"/>
    <n v="45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45576781"/>
    <n v="-455767.81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836972"/>
    <n v="8369.719999999999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76246"/>
    <n v="762.46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234283"/>
    <n v="2342.8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19604313"/>
    <n v="-196043.1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29542858"/>
    <n v="-295428.58"/>
    <x v="12"/>
  </r>
  <r>
    <s v="24"/>
    <s v="052"/>
    <s v="0024"/>
    <s v="55"/>
    <s v="55"/>
    <s v="00000000"/>
    <s v="000000"/>
    <s v="05023"/>
    <s v="20171030"/>
    <s v="0001"/>
    <s v="0"/>
    <s v="20171030"/>
    <s v="30010303000000"/>
    <x v="1"/>
    <s v="0"/>
    <n v="50010306"/>
    <m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1"/>
    <s v="0"/>
    <n v="50028"/>
    <n v="500.28"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0"/>
    <s v="0"/>
    <n v="109973"/>
    <n v="-1099.73"/>
    <x v="10"/>
  </r>
  <r>
    <s v="24"/>
    <s v="052"/>
    <s v="0024"/>
    <s v="55"/>
    <s v="55"/>
    <s v="00000000"/>
    <s v="000000"/>
    <s v="05023"/>
    <s v="20171102"/>
    <s v="0001"/>
    <s v="0"/>
    <s v="20171102"/>
    <s v="30010303000000"/>
    <x v="1"/>
    <s v="0"/>
    <n v="163528"/>
    <n v="1635.28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133472"/>
    <n v="-1334.72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37361"/>
    <n v="-373.61"/>
    <x v="11"/>
  </r>
  <r>
    <s v="24"/>
    <s v="052"/>
    <s v="0024"/>
    <s v="55"/>
    <s v="55"/>
    <s v="00000000"/>
    <s v="000000"/>
    <s v="05023"/>
    <s v="20171114"/>
    <s v="0001"/>
    <s v="0"/>
    <s v="20171114"/>
    <s v="30010303000000"/>
    <x v="0"/>
    <s v="0"/>
    <n v="96972"/>
    <n v="-969.72"/>
    <x v="11"/>
  </r>
  <r>
    <s v="24"/>
    <s v="052"/>
    <s v="0024"/>
    <s v="55"/>
    <s v="55"/>
    <s v="00000000"/>
    <s v="000000"/>
    <s v="05023"/>
    <s v="20171121"/>
    <s v="0001"/>
    <s v="0"/>
    <s v="20171121"/>
    <s v="30010303000000"/>
    <x v="0"/>
    <s v="0"/>
    <n v="112"/>
    <n v="-1.1200000000000001"/>
    <x v="11"/>
  </r>
  <r>
    <s v="24"/>
    <s v="052"/>
    <s v="0024"/>
    <s v="55"/>
    <s v="55"/>
    <s v="00000000"/>
    <s v="000000"/>
    <s v="05023"/>
    <s v="20171123"/>
    <s v="0001"/>
    <s v="0"/>
    <s v="20171123"/>
    <s v="30010303000000"/>
    <x v="0"/>
    <s v="0"/>
    <n v="75472"/>
    <n v="-754.72"/>
    <x v="11"/>
  </r>
  <r>
    <s v="24"/>
    <s v="052"/>
    <s v="0024"/>
    <s v="55"/>
    <s v="55"/>
    <s v="00000000"/>
    <s v="000000"/>
    <s v="05023"/>
    <s v="20171124"/>
    <s v="0001"/>
    <s v="0"/>
    <s v="20171124"/>
    <s v="30010303000000"/>
    <x v="1"/>
    <s v="0"/>
    <n v="19027"/>
    <n v="190.27"/>
    <x v="11"/>
  </r>
  <r>
    <s v="24"/>
    <s v="052"/>
    <s v="0024"/>
    <s v="55"/>
    <s v="55"/>
    <s v="00000000"/>
    <s v="000000"/>
    <s v="05022"/>
    <s v="20171127"/>
    <s v="0001"/>
    <s v="0"/>
    <s v="20171127"/>
    <s v="30010303000000"/>
    <x v="1"/>
    <s v="0"/>
    <n v="21528"/>
    <n v="215.28"/>
    <x v="11"/>
  </r>
  <r>
    <s v="24"/>
    <s v="052"/>
    <s v="0024"/>
    <s v="55"/>
    <s v="55"/>
    <s v="00000000"/>
    <s v="000000"/>
    <s v="05022"/>
    <s v="20171129"/>
    <s v="0001"/>
    <s v="0"/>
    <s v="20171129"/>
    <s v="30010303000000"/>
    <x v="0"/>
    <s v="0"/>
    <n v="85111"/>
    <n v="-851.11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1"/>
    <s v="0"/>
    <n v="353279"/>
    <n v="3532.79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0"/>
    <s v="0"/>
    <n v="38972"/>
    <n v="-389.72"/>
    <x v="11"/>
  </r>
  <r>
    <s v="24"/>
    <s v="052"/>
    <s v="0024"/>
    <s v="55"/>
    <s v="55"/>
    <s v="00000000"/>
    <s v="000000"/>
    <s v="05022"/>
    <s v="20171204"/>
    <s v="0001"/>
    <s v="0"/>
    <s v="20171204"/>
    <s v="30010303000000"/>
    <x v="1"/>
    <s v="0"/>
    <n v="3528"/>
    <n v="35.28"/>
    <x v="12"/>
  </r>
  <r>
    <s v="24"/>
    <s v="052"/>
    <s v="0024"/>
    <s v="55"/>
    <s v="55"/>
    <s v="00000000"/>
    <s v="000000"/>
    <s v="05022"/>
    <s v="20171205"/>
    <s v="0001"/>
    <s v="0"/>
    <s v="20171205"/>
    <s v="30010303000000"/>
    <x v="0"/>
    <s v="0"/>
    <n v="12604"/>
    <n v="-126.04"/>
    <x v="12"/>
  </r>
  <r>
    <s v="24"/>
    <s v="052"/>
    <s v="0024"/>
    <s v="55"/>
    <s v="55"/>
    <s v="00000000"/>
    <s v="000000"/>
    <s v="05022"/>
    <s v="20171206"/>
    <s v="0001"/>
    <s v="0"/>
    <s v="20171206"/>
    <s v="30010303000000"/>
    <x v="1"/>
    <s v="0"/>
    <n v="165215"/>
    <n v="1652.15"/>
    <x v="12"/>
  </r>
  <r>
    <s v="24"/>
    <s v="052"/>
    <s v="0024"/>
    <s v="55"/>
    <s v="55"/>
    <s v="00000000"/>
    <s v="000000"/>
    <s v="05022"/>
    <s v="20171207"/>
    <s v="0001"/>
    <s v="0"/>
    <s v="20171207"/>
    <s v="30010303000000"/>
    <x v="0"/>
    <s v="0"/>
    <n v="144972"/>
    <n v="-1449.72"/>
    <x v="12"/>
  </r>
  <r>
    <s v="24"/>
    <s v="052"/>
    <s v="0024"/>
    <s v="55"/>
    <s v="55"/>
    <s v="00000000"/>
    <s v="000000"/>
    <s v="05022"/>
    <s v="20171211"/>
    <s v="0001"/>
    <s v="0"/>
    <s v="20171211"/>
    <s v="30010303000000"/>
    <x v="1"/>
    <s v="0"/>
    <n v="69527"/>
    <n v="695.27"/>
    <x v="12"/>
  </r>
  <r>
    <s v="24"/>
    <s v="052"/>
    <s v="0024"/>
    <s v="55"/>
    <s v="55"/>
    <s v="00000000"/>
    <s v="000000"/>
    <s v="05022"/>
    <s v="20171212"/>
    <s v="0001"/>
    <s v="0"/>
    <s v="20171212"/>
    <s v="30010303000000"/>
    <x v="0"/>
    <s v="0"/>
    <n v="50120945"/>
    <n v="-501209.4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T3:U6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axis="axisPage" multipleItemSelectionAllowed="1" showAll="0" defaultSubtotal="0">
      <items count="13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2"/>
      </items>
    </pivotField>
  </pivotFields>
  <rowFields count="1">
    <field x="13"/>
  </rowFields>
  <rowItems count="3">
    <i>
      <x/>
    </i>
    <i>
      <x v="1"/>
    </i>
    <i t="grand">
      <x/>
    </i>
  </rowItems>
  <colItems count="1">
    <i/>
  </colItems>
  <pageFields count="1">
    <pageField fld="17" hier="-1"/>
  </pageFields>
  <dataFields count="1">
    <dataField name="Suma de Importe real" fld="16" baseField="13" baseItem="3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Q63"/>
  <sheetViews>
    <sheetView showGridLines="0" view="pageBreakPreview" zoomScaleNormal="100" zoomScaleSheetLayoutView="100" workbookViewId="0">
      <selection activeCell="I26" sqref="I26"/>
    </sheetView>
  </sheetViews>
  <sheetFormatPr baseColWidth="10" defaultColWidth="10.7109375" defaultRowHeight="12.75"/>
  <cols>
    <col min="1" max="1" width="1.5703125" style="3" customWidth="1"/>
    <col min="2" max="2" width="1.85546875" style="3" customWidth="1"/>
    <col min="3" max="3" width="2" style="3" customWidth="1"/>
    <col min="4" max="4" width="1.7109375" style="3" customWidth="1"/>
    <col min="5" max="5" width="4.5703125" style="3" customWidth="1"/>
    <col min="6" max="6" width="6" style="3" customWidth="1"/>
    <col min="7" max="7" width="36.7109375" style="3" customWidth="1"/>
    <col min="8" max="8" width="12" style="543" customWidth="1"/>
    <col min="9" max="9" width="15.5703125" style="734" customWidth="1"/>
    <col min="10" max="10" width="2.28515625" style="74" customWidth="1"/>
    <col min="11" max="11" width="16" style="3" customWidth="1"/>
    <col min="12" max="14" width="10.7109375" style="3"/>
    <col min="15" max="15" width="11.28515625" style="3" bestFit="1" customWidth="1"/>
    <col min="16" max="16384" width="10.7109375" style="3"/>
  </cols>
  <sheetData>
    <row r="1" spans="1:13" ht="15.75">
      <c r="A1" s="542" t="s">
        <v>0</v>
      </c>
      <c r="B1" s="67"/>
      <c r="I1" s="3"/>
    </row>
    <row r="2" spans="1:13">
      <c r="A2" s="544" t="s">
        <v>1</v>
      </c>
      <c r="I2" s="3"/>
    </row>
    <row r="3" spans="1:13">
      <c r="A3" s="544"/>
      <c r="I3" s="3"/>
    </row>
    <row r="4" spans="1:13">
      <c r="A4" s="545" t="s">
        <v>1210</v>
      </c>
      <c r="B4" s="74"/>
      <c r="C4" s="74"/>
      <c r="D4" s="74"/>
      <c r="E4" s="74"/>
      <c r="F4" s="74"/>
      <c r="G4" s="74"/>
      <c r="H4" s="546"/>
      <c r="I4" s="74"/>
      <c r="K4" s="74"/>
    </row>
    <row r="5" spans="1:13" s="548" customFormat="1">
      <c r="A5" s="545" t="s">
        <v>1211</v>
      </c>
      <c r="B5" s="547"/>
      <c r="C5" s="547"/>
      <c r="D5" s="547"/>
      <c r="E5" s="547"/>
      <c r="F5" s="547"/>
      <c r="G5" s="547"/>
      <c r="H5" s="70"/>
      <c r="I5" s="547"/>
      <c r="J5" s="547"/>
      <c r="K5" s="547"/>
    </row>
    <row r="6" spans="1:13" s="547" customFormat="1">
      <c r="A6" s="549" t="s">
        <v>2</v>
      </c>
      <c r="B6" s="550"/>
      <c r="C6" s="550"/>
      <c r="D6" s="550"/>
      <c r="E6" s="550"/>
      <c r="F6" s="550"/>
      <c r="G6" s="550"/>
      <c r="H6" s="551"/>
      <c r="I6" s="550"/>
      <c r="J6" s="550"/>
      <c r="K6" s="550"/>
      <c r="M6" s="547" t="s">
        <v>503</v>
      </c>
    </row>
    <row r="7" spans="1:13" s="74" customFormat="1">
      <c r="A7" s="552"/>
      <c r="H7" s="546"/>
    </row>
    <row r="8" spans="1:13" s="74" customFormat="1" hidden="1">
      <c r="A8" s="552"/>
      <c r="H8" s="546"/>
      <c r="I8" s="70" t="s">
        <v>752</v>
      </c>
      <c r="J8" s="547"/>
      <c r="K8" s="547" t="s">
        <v>507</v>
      </c>
    </row>
    <row r="9" spans="1:13" s="74" customFormat="1" ht="25.5">
      <c r="A9" s="552"/>
      <c r="H9" s="70" t="s">
        <v>3</v>
      </c>
      <c r="I9" s="553" t="s">
        <v>1443</v>
      </c>
      <c r="K9" s="553" t="s">
        <v>1444</v>
      </c>
    </row>
    <row r="10" spans="1:13" s="74" customFormat="1">
      <c r="A10" s="552"/>
      <c r="H10" s="70"/>
      <c r="I10" s="553" t="s">
        <v>506</v>
      </c>
      <c r="K10" s="553" t="s">
        <v>505</v>
      </c>
    </row>
    <row r="11" spans="1:13" ht="12.75" customHeight="1">
      <c r="A11" s="548" t="s">
        <v>4</v>
      </c>
      <c r="B11" s="74"/>
      <c r="C11" s="74"/>
      <c r="D11" s="74"/>
      <c r="E11" s="74"/>
      <c r="F11" s="74"/>
      <c r="G11" s="74"/>
      <c r="H11" s="554"/>
      <c r="I11" s="555"/>
      <c r="J11" s="554"/>
      <c r="K11" s="555"/>
    </row>
    <row r="12" spans="1:13" ht="12.75" customHeight="1">
      <c r="A12" s="3" t="s">
        <v>5</v>
      </c>
      <c r="B12" s="74"/>
      <c r="C12" s="74"/>
      <c r="D12" s="74"/>
      <c r="E12" s="74"/>
      <c r="F12" s="74"/>
      <c r="G12" s="74"/>
      <c r="H12" s="556"/>
      <c r="I12" s="968"/>
      <c r="J12" s="554"/>
      <c r="K12" s="555"/>
    </row>
    <row r="13" spans="1:13" ht="12.75" customHeight="1">
      <c r="B13" s="3" t="s">
        <v>198</v>
      </c>
      <c r="H13" s="653"/>
      <c r="I13" s="73">
        <f>SUMIF(Consolidado!$M:$M,B13,Consolidado!$K:$K)</f>
        <v>1449231</v>
      </c>
      <c r="J13" s="73"/>
      <c r="K13" s="73">
        <v>1690622</v>
      </c>
      <c r="M13" s="3" t="s">
        <v>6</v>
      </c>
    </row>
    <row r="14" spans="1:13" ht="12.75" customHeight="1">
      <c r="B14" s="3" t="s">
        <v>751</v>
      </c>
      <c r="H14" s="653"/>
      <c r="I14" s="73">
        <f>SUMIF(Consolidado!$M:$M,B14,Consolidado!$K:$K)</f>
        <v>9659137</v>
      </c>
      <c r="J14" s="73"/>
      <c r="K14" s="73">
        <v>15725244</v>
      </c>
      <c r="M14" s="3" t="s">
        <v>7</v>
      </c>
    </row>
    <row r="15" spans="1:13" ht="12.75" customHeight="1">
      <c r="B15" s="3" t="s">
        <v>8</v>
      </c>
      <c r="H15" s="653"/>
      <c r="I15" s="77">
        <f>SUMIF(Consolidado!$M:$M,B15,Consolidado!$K:$K)</f>
        <v>11150075</v>
      </c>
      <c r="J15" s="73"/>
      <c r="K15" s="77">
        <v>11114750</v>
      </c>
      <c r="M15" s="558"/>
    </row>
    <row r="16" spans="1:13" ht="12.75" customHeight="1">
      <c r="A16" s="3" t="s">
        <v>10</v>
      </c>
      <c r="H16" s="654" t="s">
        <v>744</v>
      </c>
      <c r="I16" s="77">
        <f>SUM(I13:I15)</f>
        <v>22258443</v>
      </c>
      <c r="J16" s="73"/>
      <c r="K16" s="77">
        <f>SUM(K13:K15)</f>
        <v>28530616</v>
      </c>
    </row>
    <row r="17" spans="1:17" ht="12.75" customHeight="1">
      <c r="A17" s="74"/>
      <c r="B17" s="74"/>
      <c r="C17" s="74"/>
      <c r="D17" s="74"/>
      <c r="E17" s="74"/>
      <c r="F17" s="74"/>
      <c r="G17" s="74"/>
      <c r="H17" s="655"/>
      <c r="I17" s="559"/>
      <c r="J17" s="559"/>
      <c r="K17" s="559"/>
    </row>
    <row r="18" spans="1:17" ht="12.75" customHeight="1">
      <c r="A18" s="3" t="s">
        <v>11</v>
      </c>
      <c r="B18" s="74"/>
      <c r="C18" s="74"/>
      <c r="D18" s="74"/>
      <c r="E18" s="74"/>
      <c r="F18" s="74"/>
      <c r="G18" s="74"/>
      <c r="H18" s="655"/>
      <c r="I18" s="559"/>
      <c r="J18" s="559"/>
      <c r="K18" s="559"/>
    </row>
    <row r="19" spans="1:17" ht="12.75" customHeight="1">
      <c r="A19" s="74"/>
      <c r="B19" s="74" t="s">
        <v>12</v>
      </c>
      <c r="C19" s="74"/>
      <c r="D19" s="74"/>
      <c r="E19" s="74"/>
      <c r="F19" s="74"/>
      <c r="G19" s="74"/>
      <c r="H19" s="655" t="s">
        <v>745</v>
      </c>
      <c r="I19" s="73">
        <f>SUMIF(Consolidado!$M6:$M183,B19,Consolidado!$K6:$K183)</f>
        <v>15330055</v>
      </c>
      <c r="J19" s="73"/>
      <c r="K19" s="73">
        <v>9452040</v>
      </c>
      <c r="M19" s="3" t="s">
        <v>83</v>
      </c>
      <c r="P19" s="560"/>
      <c r="Q19" s="560"/>
    </row>
    <row r="20" spans="1:17" ht="12.75" customHeight="1">
      <c r="A20" s="74"/>
      <c r="B20" s="74" t="s">
        <v>1453</v>
      </c>
      <c r="C20" s="74"/>
      <c r="D20" s="74"/>
      <c r="E20" s="74"/>
      <c r="F20" s="74"/>
      <c r="G20" s="74"/>
      <c r="H20" s="655" t="s">
        <v>801</v>
      </c>
      <c r="I20" s="77">
        <f>SUMIF(Consolidado!$M7:$M184,B20,Consolidado!$K7:$K184)</f>
        <v>62054</v>
      </c>
      <c r="J20" s="73"/>
      <c r="K20" s="77">
        <v>62054</v>
      </c>
      <c r="L20" s="560"/>
      <c r="M20" s="3" t="s">
        <v>13</v>
      </c>
    </row>
    <row r="21" spans="1:17" ht="12.75" customHeight="1">
      <c r="A21" s="74"/>
      <c r="B21" s="74"/>
      <c r="C21" s="74"/>
      <c r="D21" s="74"/>
      <c r="E21" s="74"/>
      <c r="F21" s="74"/>
      <c r="G21" s="74"/>
      <c r="H21" s="655"/>
      <c r="I21" s="77">
        <f>SUM(I19:I20)</f>
        <v>15392109</v>
      </c>
      <c r="J21" s="73"/>
      <c r="K21" s="77">
        <f>SUM(K19:K20)</f>
        <v>9514094</v>
      </c>
    </row>
    <row r="22" spans="1:17" ht="12.75" customHeight="1">
      <c r="A22" s="74"/>
      <c r="B22" s="74"/>
      <c r="C22" s="74"/>
      <c r="D22" s="74"/>
      <c r="E22" s="74"/>
      <c r="F22" s="74"/>
      <c r="G22" s="74"/>
      <c r="H22" s="655"/>
      <c r="I22" s="559"/>
      <c r="J22" s="559"/>
      <c r="K22" s="559"/>
    </row>
    <row r="23" spans="1:17" ht="12.75" customHeight="1">
      <c r="A23" s="3" t="s">
        <v>448</v>
      </c>
      <c r="H23" s="654" t="s">
        <v>740</v>
      </c>
      <c r="I23" s="73">
        <f>SUMIF(Consolidado!$M6:$M183,A23,Consolidado!$K6:$K183)+1</f>
        <v>86601</v>
      </c>
      <c r="J23" s="73"/>
      <c r="K23" s="73">
        <v>94628</v>
      </c>
      <c r="M23" s="3" t="s">
        <v>448</v>
      </c>
      <c r="Q23" s="560"/>
    </row>
    <row r="24" spans="1:17" ht="12.75" customHeight="1">
      <c r="A24" s="3" t="s">
        <v>15</v>
      </c>
      <c r="H24" s="655" t="s">
        <v>741</v>
      </c>
      <c r="I24" s="73">
        <f>SUMIF(Consolidado!$M7:$M184,A24,Consolidado!$K7:$K184)</f>
        <v>236658</v>
      </c>
      <c r="J24" s="73"/>
      <c r="K24" s="73">
        <v>291272</v>
      </c>
      <c r="M24" s="3" t="s">
        <v>15</v>
      </c>
      <c r="Q24" s="560"/>
    </row>
    <row r="25" spans="1:17" ht="12.75" customHeight="1">
      <c r="A25" s="74" t="s">
        <v>16</v>
      </c>
      <c r="C25" s="74"/>
      <c r="D25" s="74"/>
      <c r="E25" s="74"/>
      <c r="F25" s="74"/>
      <c r="G25" s="74"/>
      <c r="H25" s="655" t="s">
        <v>662</v>
      </c>
      <c r="I25" s="77">
        <f>SUMIF(Consolidado!$M8:$M185,A25,Consolidado!$K8:$K185)-2</f>
        <v>3072447</v>
      </c>
      <c r="J25" s="73"/>
      <c r="K25" s="77">
        <v>1614706</v>
      </c>
      <c r="M25" s="3" t="s">
        <v>16</v>
      </c>
      <c r="Q25" s="560"/>
    </row>
    <row r="26" spans="1:17" ht="18" customHeight="1" thickBot="1">
      <c r="A26" s="74" t="s">
        <v>449</v>
      </c>
      <c r="F26" s="74"/>
      <c r="G26" s="74"/>
      <c r="H26" s="655"/>
      <c r="I26" s="784">
        <f>+I21+I23+I24+I25+I16</f>
        <v>41046258</v>
      </c>
      <c r="J26" s="73"/>
      <c r="K26" s="784">
        <f>+K21+K23+K24+K25+K16</f>
        <v>40045316</v>
      </c>
      <c r="M26" s="561"/>
      <c r="N26" s="561">
        <f>I25-K25</f>
        <v>1457741</v>
      </c>
      <c r="O26" s="560"/>
    </row>
    <row r="27" spans="1:17" ht="12.75" customHeight="1">
      <c r="B27" s="74"/>
      <c r="C27" s="74"/>
      <c r="D27" s="74"/>
      <c r="E27" s="74"/>
      <c r="F27" s="74"/>
      <c r="G27" s="74"/>
      <c r="H27" s="655"/>
      <c r="I27" s="559"/>
      <c r="J27" s="559"/>
      <c r="K27" s="559"/>
      <c r="L27" s="560"/>
      <c r="M27" s="560"/>
      <c r="N27" s="561"/>
    </row>
    <row r="28" spans="1:17" ht="12.75" customHeight="1">
      <c r="A28" s="548" t="s">
        <v>17</v>
      </c>
      <c r="B28" s="74"/>
      <c r="C28" s="74"/>
      <c r="D28" s="74"/>
      <c r="E28" s="548"/>
      <c r="F28" s="74"/>
      <c r="G28" s="74"/>
      <c r="H28" s="655"/>
      <c r="I28" s="559"/>
      <c r="J28" s="559"/>
      <c r="K28" s="559"/>
    </row>
    <row r="29" spans="1:17" ht="12.75" customHeight="1">
      <c r="A29" s="3" t="s">
        <v>196</v>
      </c>
      <c r="B29" s="74"/>
      <c r="C29" s="74"/>
      <c r="D29" s="74"/>
      <c r="E29" s="548"/>
      <c r="F29" s="74"/>
      <c r="G29" s="74"/>
      <c r="H29" s="655"/>
      <c r="I29" s="559"/>
      <c r="J29" s="559"/>
      <c r="K29" s="559"/>
    </row>
    <row r="30" spans="1:17" ht="12.75" customHeight="1">
      <c r="B30" s="3" t="s">
        <v>18</v>
      </c>
      <c r="H30" s="654" t="s">
        <v>663</v>
      </c>
      <c r="I30" s="73">
        <f>+ROUND(SUM('Anexo-22'!C8,'Anexo-22'!C13),0)</f>
        <v>119319</v>
      </c>
      <c r="J30" s="73"/>
      <c r="K30" s="73">
        <v>364821</v>
      </c>
      <c r="M30" s="3" t="s">
        <v>85</v>
      </c>
      <c r="Q30" s="561"/>
    </row>
    <row r="31" spans="1:17" ht="12.75" customHeight="1">
      <c r="B31" s="562" t="s">
        <v>216</v>
      </c>
      <c r="C31" s="563"/>
      <c r="D31" s="564"/>
      <c r="E31" s="564"/>
      <c r="F31" s="563"/>
      <c r="H31" s="543" t="s">
        <v>664</v>
      </c>
      <c r="I31" s="73">
        <f>+ROUND(+SUM('Anexo-22'!C9:C12,'Anexo-22'!C14:C50),0)</f>
        <v>12388373</v>
      </c>
      <c r="J31" s="73"/>
      <c r="K31" s="73">
        <v>923227</v>
      </c>
      <c r="M31" s="3" t="s">
        <v>85</v>
      </c>
      <c r="O31" s="561">
        <f>I31-K31</f>
        <v>11465146</v>
      </c>
      <c r="Q31" s="561"/>
    </row>
    <row r="32" spans="1:17" ht="12.75" customHeight="1">
      <c r="B32" s="562" t="s">
        <v>19</v>
      </c>
      <c r="C32" s="563"/>
      <c r="D32" s="564"/>
      <c r="E32" s="564"/>
      <c r="F32" s="563"/>
      <c r="H32" s="654" t="s">
        <v>1445</v>
      </c>
      <c r="I32" s="77">
        <f>ROUND(SUMIF(Consolidado!$M6:$M183,B32,Consolidado!$K6:$K183),0)</f>
        <v>39750</v>
      </c>
      <c r="J32" s="73"/>
      <c r="K32" s="77">
        <v>46690</v>
      </c>
      <c r="M32" s="3" t="s">
        <v>19</v>
      </c>
      <c r="O32" s="3">
        <v>-9937316.5500000007</v>
      </c>
      <c r="Q32" s="561"/>
    </row>
    <row r="33" spans="1:15" ht="18" customHeight="1">
      <c r="A33" s="566" t="s">
        <v>450</v>
      </c>
      <c r="B33" s="74"/>
      <c r="I33" s="77">
        <f>SUM(I30:I32)</f>
        <v>12547442</v>
      </c>
      <c r="J33" s="73"/>
      <c r="K33" s="77">
        <f>SUM(K30:K32)</f>
        <v>1334738</v>
      </c>
      <c r="O33" s="560"/>
    </row>
    <row r="34" spans="1:15" ht="12.75" customHeight="1">
      <c r="A34" s="547"/>
      <c r="H34" s="3"/>
      <c r="I34" s="559"/>
      <c r="J34" s="559"/>
      <c r="K34" s="559"/>
      <c r="M34" s="561"/>
    </row>
    <row r="35" spans="1:15" ht="12.75" customHeight="1">
      <c r="A35" s="3" t="s">
        <v>451</v>
      </c>
      <c r="B35" s="548"/>
      <c r="C35" s="548"/>
      <c r="D35" s="548"/>
      <c r="E35" s="548"/>
      <c r="F35" s="548"/>
      <c r="H35" s="3"/>
      <c r="I35" s="559"/>
      <c r="J35" s="559"/>
      <c r="K35" s="559"/>
    </row>
    <row r="36" spans="1:15" ht="12.75" customHeight="1">
      <c r="A36" s="3" t="s">
        <v>20</v>
      </c>
      <c r="H36" s="543">
        <v>15</v>
      </c>
      <c r="I36" s="73">
        <f>SUMIF(Consolidado!$M6:$M183,A36,Consolidado!$K6:$K183)</f>
        <v>150000</v>
      </c>
      <c r="J36" s="73"/>
      <c r="K36" s="73">
        <v>150000</v>
      </c>
      <c r="M36" s="3" t="s">
        <v>86</v>
      </c>
    </row>
    <row r="37" spans="1:15" ht="12.75" customHeight="1">
      <c r="A37" s="3" t="s">
        <v>22</v>
      </c>
      <c r="I37" s="73">
        <f>SUMIF(Consolidado!$M8:$M185,A37,Consolidado!$K8:$K185)</f>
        <v>2089458</v>
      </c>
      <c r="J37" s="73"/>
      <c r="K37" s="73">
        <v>3424730</v>
      </c>
      <c r="M37" s="3" t="s">
        <v>22</v>
      </c>
    </row>
    <row r="38" spans="1:15" ht="12.75" customHeight="1">
      <c r="A38" s="3" t="s">
        <v>21</v>
      </c>
      <c r="I38" s="969">
        <f>SUMIF(Consolidado!$M7:$M184,A38,Consolidado!$K7:$K184)</f>
        <v>0</v>
      </c>
      <c r="J38" s="73"/>
      <c r="K38" s="73">
        <v>15884028</v>
      </c>
      <c r="M38" s="3" t="s">
        <v>88</v>
      </c>
    </row>
    <row r="39" spans="1:15" ht="12.75" customHeight="1">
      <c r="A39" s="3" t="s">
        <v>23</v>
      </c>
      <c r="I39" s="632">
        <v>-2963</v>
      </c>
      <c r="J39" s="632"/>
      <c r="K39" s="632">
        <v>-2963</v>
      </c>
      <c r="M39" s="3" t="s">
        <v>87</v>
      </c>
    </row>
    <row r="40" spans="1:15" ht="12.75" customHeight="1">
      <c r="A40" s="74" t="s">
        <v>24</v>
      </c>
      <c r="I40" s="632">
        <f>SUMIF(Consolidado!$M10:$M187,A40,Consolidado!$K10:$K187)</f>
        <v>-366121</v>
      </c>
      <c r="J40" s="632"/>
      <c r="K40" s="632">
        <v>-414602</v>
      </c>
      <c r="L40" s="561"/>
      <c r="M40" s="3" t="s">
        <v>24</v>
      </c>
    </row>
    <row r="41" spans="1:15" ht="12.75" customHeight="1">
      <c r="A41" s="3" t="s">
        <v>226</v>
      </c>
      <c r="I41" s="77">
        <f>SUMIF(Consolidado!$M11:$M188,M41,Consolidado!$K11:$K188)</f>
        <v>26628442</v>
      </c>
      <c r="J41" s="559"/>
      <c r="K41" s="77">
        <v>19669385</v>
      </c>
      <c r="M41" s="3" t="s">
        <v>226</v>
      </c>
    </row>
    <row r="42" spans="1:15" ht="18" customHeight="1">
      <c r="A42" s="566" t="s">
        <v>452</v>
      </c>
      <c r="B42" s="74"/>
      <c r="H42" s="543" t="s">
        <v>1446</v>
      </c>
      <c r="I42" s="77">
        <f>SUM(I36:I41)</f>
        <v>28498816</v>
      </c>
      <c r="J42" s="559"/>
      <c r="K42" s="77">
        <f>SUM(K36:K41)</f>
        <v>38710578</v>
      </c>
    </row>
    <row r="43" spans="1:15" ht="18" customHeight="1" thickBot="1">
      <c r="A43" s="74" t="s">
        <v>453</v>
      </c>
      <c r="H43" s="3"/>
      <c r="I43" s="784">
        <f>(+I33+I42)</f>
        <v>41046258</v>
      </c>
      <c r="J43" s="559"/>
      <c r="K43" s="784">
        <f>+K33+K42</f>
        <v>40045316</v>
      </c>
    </row>
    <row r="44" spans="1:15" ht="12.75" customHeight="1">
      <c r="A44" s="547"/>
      <c r="H44" s="3"/>
      <c r="I44" s="559"/>
      <c r="J44" s="559"/>
      <c r="K44" s="559"/>
    </row>
    <row r="45" spans="1:15" ht="12.75" customHeight="1">
      <c r="A45" s="547"/>
      <c r="H45" s="3"/>
      <c r="I45" s="559"/>
      <c r="J45" s="559"/>
      <c r="K45" s="559"/>
    </row>
    <row r="46" spans="1:15" ht="12.75" customHeight="1">
      <c r="A46" s="74" t="s">
        <v>1462</v>
      </c>
      <c r="H46" s="3"/>
      <c r="I46" s="559"/>
      <c r="J46" s="559"/>
      <c r="K46" s="559"/>
    </row>
    <row r="47" spans="1:15">
      <c r="A47" s="547"/>
      <c r="H47" s="3"/>
      <c r="I47" s="910"/>
      <c r="J47" s="559"/>
      <c r="K47" s="559"/>
    </row>
    <row r="48" spans="1:15">
      <c r="A48" s="547"/>
      <c r="H48" s="3"/>
      <c r="I48" s="911">
        <f>+I26-I43</f>
        <v>0</v>
      </c>
      <c r="J48" s="106"/>
      <c r="K48" s="106">
        <f>+K26-K43</f>
        <v>0</v>
      </c>
    </row>
    <row r="49" spans="1:11">
      <c r="A49" s="547"/>
      <c r="H49" s="3"/>
      <c r="I49" s="910"/>
      <c r="J49" s="559"/>
      <c r="K49" s="559"/>
    </row>
    <row r="50" spans="1:11">
      <c r="A50" s="547"/>
      <c r="H50" s="3"/>
      <c r="I50" s="910"/>
      <c r="J50" s="559"/>
      <c r="K50" s="559"/>
    </row>
    <row r="51" spans="1:11">
      <c r="A51" s="547"/>
      <c r="H51" s="3"/>
      <c r="I51" s="910"/>
      <c r="J51" s="559"/>
      <c r="K51" s="559"/>
    </row>
    <row r="52" spans="1:11">
      <c r="A52" s="547"/>
      <c r="H52" s="3"/>
      <c r="I52" s="910"/>
      <c r="J52" s="559"/>
    </row>
    <row r="53" spans="1:11">
      <c r="A53" s="547"/>
      <c r="H53" s="3"/>
      <c r="I53" s="910"/>
      <c r="J53" s="559"/>
    </row>
    <row r="54" spans="1:11">
      <c r="K54" s="560"/>
    </row>
    <row r="55" spans="1:11">
      <c r="A55" s="567"/>
      <c r="H55" s="3"/>
      <c r="I55" s="910"/>
      <c r="J55" s="559"/>
      <c r="K55" s="559"/>
    </row>
    <row r="56" spans="1:11">
      <c r="A56" s="567"/>
      <c r="B56" s="568"/>
      <c r="C56" s="568"/>
      <c r="D56" s="568"/>
      <c r="E56" s="568"/>
      <c r="F56" s="568"/>
      <c r="G56" s="567"/>
      <c r="H56" s="569"/>
      <c r="I56" s="912"/>
      <c r="J56" s="570"/>
    </row>
    <row r="57" spans="1:11">
      <c r="A57" s="567"/>
      <c r="B57" s="568"/>
      <c r="C57" s="568"/>
      <c r="D57" s="568"/>
      <c r="E57" s="568"/>
      <c r="F57" s="568"/>
      <c r="G57" s="567"/>
      <c r="H57" s="569"/>
      <c r="I57" s="912"/>
      <c r="J57" s="570"/>
    </row>
    <row r="58" spans="1:11">
      <c r="A58" s="567"/>
      <c r="B58" s="568"/>
      <c r="C58" s="568"/>
      <c r="D58" s="568"/>
      <c r="E58" s="568"/>
      <c r="F58" s="568"/>
      <c r="G58" s="567"/>
      <c r="H58" s="569"/>
      <c r="I58" s="912"/>
      <c r="J58" s="570"/>
    </row>
    <row r="59" spans="1:11">
      <c r="A59" s="1006"/>
      <c r="B59" s="1006"/>
      <c r="C59" s="1006"/>
      <c r="D59" s="1006"/>
      <c r="E59" s="1006"/>
      <c r="F59" s="1006"/>
      <c r="G59" s="1006"/>
      <c r="H59" s="1006"/>
      <c r="I59" s="1006"/>
      <c r="J59" s="1006"/>
      <c r="K59" s="1006"/>
    </row>
    <row r="60" spans="1:11">
      <c r="H60" s="3"/>
      <c r="J60" s="3"/>
    </row>
    <row r="61" spans="1:11" s="563" customFormat="1">
      <c r="A61" s="1007"/>
      <c r="B61" s="1008"/>
      <c r="C61" s="1008"/>
      <c r="D61" s="1008"/>
      <c r="E61" s="1008"/>
      <c r="F61" s="1008"/>
      <c r="G61" s="1008"/>
      <c r="H61" s="1008"/>
      <c r="I61" s="1008"/>
      <c r="J61" s="1008"/>
      <c r="K61" s="1008"/>
    </row>
    <row r="62" spans="1:11" s="563" customFormat="1">
      <c r="H62" s="571"/>
      <c r="I62" s="913"/>
      <c r="J62" s="572"/>
    </row>
    <row r="63" spans="1:11" s="563" customFormat="1">
      <c r="H63" s="571"/>
      <c r="I63" s="913"/>
      <c r="J63" s="572"/>
    </row>
  </sheetData>
  <mergeCells count="2">
    <mergeCell ref="A59:K59"/>
    <mergeCell ref="A61:K61"/>
  </mergeCells>
  <printOptions horizontalCentered="1"/>
  <pageMargins left="0.78740157480314965" right="0.74803149606299213" top="0.47244094488188981" bottom="1.1811023622047245" header="0" footer="0.59055118110236227"/>
  <pageSetup scale="88" orientation="portrait" r:id="rId1"/>
  <headerFooter>
    <oddFooter>&amp;L
&amp;C- 2 -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76"/>
  <sheetViews>
    <sheetView showGridLines="0" view="pageBreakPreview" topLeftCell="A40" zoomScaleNormal="100" zoomScaleSheetLayoutView="100" workbookViewId="0">
      <selection activeCell="I26" sqref="I26"/>
    </sheetView>
  </sheetViews>
  <sheetFormatPr baseColWidth="10" defaultColWidth="5.28515625" defaultRowHeight="12.75"/>
  <cols>
    <col min="1" max="1" width="2.42578125" style="21" customWidth="1"/>
    <col min="2" max="2" width="1.7109375" style="21" customWidth="1"/>
    <col min="3" max="3" width="1.42578125" style="21" customWidth="1"/>
    <col min="4" max="4" width="1.85546875" style="21" customWidth="1"/>
    <col min="5" max="5" width="4.5703125" style="21" customWidth="1"/>
    <col min="6" max="6" width="5.28515625" style="21" customWidth="1"/>
    <col min="7" max="7" width="3.85546875" style="21" customWidth="1"/>
    <col min="8" max="8" width="26" style="21" customWidth="1"/>
    <col min="9" max="9" width="10.42578125" style="21" customWidth="1"/>
    <col min="10" max="10" width="14.85546875" style="909" customWidth="1"/>
    <col min="11" max="11" width="2.140625" style="25" customWidth="1"/>
    <col min="12" max="12" width="14.85546875" style="21" customWidth="1"/>
    <col min="13" max="13" width="0.7109375" style="25" hidden="1" customWidth="1"/>
    <col min="14" max="14" width="14.85546875" style="24" hidden="1" customWidth="1"/>
    <col min="15" max="15" width="0.7109375" style="25" hidden="1" customWidth="1"/>
    <col min="16" max="16" width="14.85546875" style="21" hidden="1" customWidth="1"/>
    <col min="17" max="17" width="14.42578125" style="21" customWidth="1"/>
    <col min="18" max="18" width="14.42578125" style="24" hidden="1" customWidth="1"/>
    <col min="19" max="19" width="5.42578125" style="25" hidden="1" customWidth="1"/>
    <col min="20" max="20" width="14.42578125" style="21" hidden="1" customWidth="1"/>
    <col min="21" max="21" width="7.140625" style="21" customWidth="1"/>
    <col min="22" max="22" width="13.42578125" style="24" customWidth="1"/>
    <col min="23" max="23" width="2.42578125" style="82" customWidth="1"/>
    <col min="24" max="24" width="13" style="21" customWidth="1"/>
    <col min="25" max="25" width="13.42578125" style="391" bestFit="1" customWidth="1"/>
    <col min="26" max="27" width="10.7109375" style="21" customWidth="1"/>
    <col min="28" max="28" width="31.28515625" style="21" bestFit="1" customWidth="1"/>
    <col min="29" max="29" width="11.28515625" style="21" bestFit="1" customWidth="1"/>
    <col min="30" max="257" width="10.7109375" style="21" customWidth="1"/>
    <col min="258" max="258" width="2.42578125" style="21" customWidth="1"/>
    <col min="259" max="259" width="1.7109375" style="21" customWidth="1"/>
    <col min="260" max="260" width="1.42578125" style="21" customWidth="1"/>
    <col min="261" max="261" width="1.85546875" style="21" customWidth="1"/>
    <col min="262" max="262" width="4.5703125" style="21" customWidth="1"/>
    <col min="263" max="16384" width="5.28515625" style="21"/>
  </cols>
  <sheetData>
    <row r="1" spans="1:28" s="579" customFormat="1" ht="15.75">
      <c r="A1" s="542" t="s">
        <v>0</v>
      </c>
      <c r="B1" s="573"/>
      <c r="C1" s="574"/>
      <c r="D1" s="574"/>
      <c r="E1" s="574"/>
      <c r="F1" s="574"/>
      <c r="G1" s="574"/>
      <c r="H1" s="575"/>
      <c r="I1" s="574"/>
      <c r="J1" s="576"/>
      <c r="K1" s="577"/>
      <c r="L1" s="578"/>
      <c r="M1" s="577"/>
      <c r="N1" s="576"/>
      <c r="O1" s="577"/>
      <c r="P1" s="578"/>
      <c r="Q1" s="578"/>
      <c r="R1" s="576"/>
      <c r="S1" s="577"/>
      <c r="T1" s="578"/>
      <c r="V1" s="580"/>
      <c r="W1" s="581"/>
      <c r="Y1" s="582"/>
    </row>
    <row r="2" spans="1:28" s="579" customFormat="1" ht="15.75">
      <c r="A2" s="544" t="s">
        <v>1</v>
      </c>
      <c r="B2" s="573"/>
      <c r="C2" s="574"/>
      <c r="D2" s="574"/>
      <c r="E2" s="574"/>
      <c r="F2" s="574"/>
      <c r="G2" s="574"/>
      <c r="H2" s="575"/>
      <c r="I2" s="574"/>
      <c r="J2" s="576"/>
      <c r="K2" s="577"/>
      <c r="L2" s="578"/>
      <c r="M2" s="577"/>
      <c r="N2" s="576"/>
      <c r="O2" s="577"/>
      <c r="P2" s="578"/>
      <c r="Q2" s="578"/>
      <c r="R2" s="576"/>
      <c r="S2" s="577"/>
      <c r="T2" s="578"/>
      <c r="V2" s="580"/>
      <c r="W2" s="581"/>
      <c r="Y2" s="582"/>
    </row>
    <row r="3" spans="1:28">
      <c r="A3" s="544"/>
      <c r="B3" s="28"/>
      <c r="C3" s="28"/>
      <c r="D3" s="28"/>
      <c r="E3" s="28"/>
      <c r="F3" s="28"/>
      <c r="G3" s="28"/>
      <c r="H3" s="28"/>
      <c r="I3" s="28"/>
      <c r="J3" s="583"/>
      <c r="K3" s="27"/>
      <c r="L3" s="28"/>
      <c r="M3" s="27"/>
      <c r="N3" s="583"/>
      <c r="O3" s="27"/>
      <c r="P3" s="28"/>
      <c r="Q3" s="28"/>
      <c r="R3" s="583"/>
      <c r="S3" s="27"/>
      <c r="T3" s="28"/>
    </row>
    <row r="4" spans="1:28" s="93" customFormat="1">
      <c r="A4" s="545" t="s">
        <v>1219</v>
      </c>
      <c r="B4" s="30"/>
      <c r="C4" s="30"/>
      <c r="D4" s="30"/>
      <c r="E4" s="30"/>
      <c r="F4" s="30"/>
      <c r="G4" s="30"/>
      <c r="H4" s="585"/>
      <c r="I4" s="30"/>
      <c r="J4" s="73"/>
      <c r="K4" s="30"/>
      <c r="L4" s="30"/>
      <c r="M4" s="30"/>
      <c r="N4" s="73"/>
      <c r="O4" s="30"/>
      <c r="P4" s="30"/>
      <c r="Q4" s="30"/>
      <c r="R4" s="73"/>
      <c r="S4" s="30"/>
      <c r="T4" s="30"/>
      <c r="V4" s="65"/>
      <c r="W4" s="73"/>
      <c r="Y4" s="119"/>
    </row>
    <row r="5" spans="1:28" s="97" customFormat="1">
      <c r="A5" s="545" t="s">
        <v>1212</v>
      </c>
      <c r="B5" s="33"/>
      <c r="C5" s="33"/>
      <c r="D5" s="33"/>
      <c r="E5" s="33"/>
      <c r="F5" s="33"/>
      <c r="G5" s="33"/>
      <c r="H5" s="584"/>
      <c r="I5" s="33"/>
      <c r="J5" s="114"/>
      <c r="K5" s="33"/>
      <c r="L5" s="33"/>
      <c r="M5" s="33"/>
      <c r="N5" s="114"/>
      <c r="O5" s="33"/>
      <c r="P5" s="33"/>
      <c r="Q5" s="33"/>
      <c r="R5" s="114"/>
      <c r="S5" s="33"/>
      <c r="T5" s="33"/>
      <c r="V5" s="98"/>
      <c r="W5" s="114"/>
      <c r="Y5" s="586"/>
    </row>
    <row r="6" spans="1:28" s="33" customFormat="1">
      <c r="A6" s="549" t="s">
        <v>2</v>
      </c>
      <c r="B6" s="36"/>
      <c r="C6" s="36"/>
      <c r="D6" s="36"/>
      <c r="E6" s="36"/>
      <c r="F6" s="36"/>
      <c r="G6" s="36"/>
      <c r="H6" s="587"/>
      <c r="I6" s="36"/>
      <c r="J6" s="588"/>
      <c r="K6" s="36"/>
      <c r="L6" s="36"/>
      <c r="M6" s="36"/>
      <c r="N6" s="588"/>
      <c r="O6" s="36"/>
      <c r="P6" s="36"/>
      <c r="R6" s="588"/>
      <c r="S6" s="36"/>
      <c r="T6" s="36"/>
      <c r="V6" s="114"/>
      <c r="W6" s="114"/>
      <c r="Y6" s="589"/>
      <c r="AB6" s="33" t="s">
        <v>503</v>
      </c>
    </row>
    <row r="7" spans="1:28" s="33" customFormat="1">
      <c r="A7" s="552"/>
      <c r="H7" s="591"/>
      <c r="J7" s="114"/>
      <c r="N7" s="114"/>
      <c r="R7" s="114"/>
      <c r="V7" s="114"/>
      <c r="W7" s="114"/>
      <c r="Y7" s="589"/>
    </row>
    <row r="8" spans="1:28" s="33" customFormat="1">
      <c r="A8" s="552"/>
      <c r="H8" s="591"/>
      <c r="J8" s="114"/>
      <c r="N8" s="114"/>
      <c r="R8" s="114"/>
      <c r="V8" s="114"/>
      <c r="W8" s="114"/>
      <c r="Y8" s="589"/>
    </row>
    <row r="9" spans="1:28" s="33" customFormat="1" ht="18.75" customHeight="1">
      <c r="A9" s="552"/>
      <c r="H9" s="591"/>
      <c r="J9" s="114"/>
      <c r="N9" s="114"/>
      <c r="R9" s="114"/>
      <c r="V9" s="114"/>
      <c r="W9" s="114"/>
      <c r="Y9" s="589"/>
    </row>
    <row r="10" spans="1:28" s="33" customFormat="1">
      <c r="A10" s="590"/>
      <c r="H10" s="591"/>
      <c r="J10" s="114"/>
      <c r="N10" s="114"/>
      <c r="R10" s="114"/>
      <c r="V10" s="114"/>
      <c r="W10" s="114"/>
      <c r="Y10" s="589"/>
    </row>
    <row r="11" spans="1:28" ht="25.5">
      <c r="A11" s="590"/>
      <c r="B11" s="25"/>
      <c r="C11" s="25"/>
      <c r="D11" s="25"/>
      <c r="E11" s="25"/>
      <c r="F11" s="25"/>
      <c r="G11" s="25"/>
      <c r="H11" s="25"/>
      <c r="I11" s="592"/>
      <c r="J11" s="900" t="s">
        <v>1447</v>
      </c>
      <c r="L11" s="900" t="s">
        <v>1448</v>
      </c>
      <c r="M11" s="633"/>
      <c r="N11" s="70" t="s">
        <v>752</v>
      </c>
      <c r="P11" s="70" t="s">
        <v>752</v>
      </c>
      <c r="Q11" s="627"/>
      <c r="R11" s="114" t="s">
        <v>504</v>
      </c>
      <c r="T11" s="627" t="s">
        <v>504</v>
      </c>
    </row>
    <row r="12" spans="1:28">
      <c r="A12" s="590"/>
      <c r="B12" s="25"/>
      <c r="C12" s="25"/>
      <c r="D12" s="25"/>
      <c r="E12" s="25"/>
      <c r="F12" s="25"/>
      <c r="G12" s="25"/>
      <c r="H12" s="25"/>
      <c r="I12" s="537" t="s">
        <v>3</v>
      </c>
      <c r="J12" s="967" t="s">
        <v>506</v>
      </c>
      <c r="K12" s="741"/>
      <c r="L12" s="768" t="s">
        <v>1213</v>
      </c>
      <c r="M12" s="627"/>
      <c r="N12" s="627">
        <v>2017</v>
      </c>
      <c r="O12" s="627"/>
      <c r="P12" s="627">
        <v>2016</v>
      </c>
      <c r="Q12" s="627"/>
      <c r="R12" s="627">
        <v>2017</v>
      </c>
      <c r="S12" s="627"/>
      <c r="T12" s="627">
        <v>2016</v>
      </c>
      <c r="U12" s="391"/>
    </row>
    <row r="13" spans="1:28">
      <c r="A13" s="590" t="s">
        <v>765</v>
      </c>
      <c r="B13" s="25"/>
      <c r="C13" s="25"/>
      <c r="D13" s="25"/>
      <c r="E13" s="25"/>
      <c r="F13" s="25"/>
      <c r="G13" s="25"/>
      <c r="H13" s="25"/>
      <c r="J13" s="1012"/>
      <c r="K13" s="1012"/>
      <c r="L13" s="1012"/>
      <c r="M13" s="633"/>
      <c r="N13" s="1012" t="s">
        <v>753</v>
      </c>
      <c r="O13" s="1012"/>
      <c r="P13" s="1012"/>
      <c r="Q13" s="594"/>
      <c r="R13" s="593" t="s">
        <v>506</v>
      </c>
      <c r="S13" s="594"/>
      <c r="T13" s="594" t="s">
        <v>506</v>
      </c>
      <c r="U13" s="391"/>
    </row>
    <row r="14" spans="1:28">
      <c r="A14" s="21" t="s">
        <v>1449</v>
      </c>
      <c r="J14" s="596"/>
      <c r="L14" s="597"/>
      <c r="M14" s="634"/>
      <c r="N14" s="596"/>
      <c r="P14" s="597"/>
      <c r="Q14" s="597"/>
      <c r="R14" s="596"/>
      <c r="T14" s="597"/>
      <c r="U14" s="391"/>
    </row>
    <row r="15" spans="1:28">
      <c r="B15" s="21" t="s">
        <v>768</v>
      </c>
      <c r="E15" s="595"/>
      <c r="J15" s="21"/>
      <c r="K15" s="21"/>
      <c r="M15" s="746"/>
      <c r="N15" s="747">
        <f>+J16-R15</f>
        <v>262842</v>
      </c>
      <c r="O15" s="744"/>
      <c r="P15" s="748">
        <f>ROUND(+L16-T15,0)</f>
        <v>200496</v>
      </c>
      <c r="Q15" s="774" t="s">
        <v>27</v>
      </c>
      <c r="R15" s="601">
        <v>965456</v>
      </c>
      <c r="S15" s="600"/>
      <c r="T15" s="602">
        <v>764960.44000000006</v>
      </c>
      <c r="U15" s="391"/>
      <c r="V15" s="602">
        <f>ROUND(J16,0)</f>
        <v>1228298</v>
      </c>
      <c r="X15" s="602">
        <f>ROUND(L16,0)</f>
        <v>965456</v>
      </c>
      <c r="AB15" s="391"/>
    </row>
    <row r="16" spans="1:28">
      <c r="C16" s="21" t="s">
        <v>769</v>
      </c>
      <c r="I16" s="767">
        <v>4</v>
      </c>
      <c r="J16" s="605">
        <f>SUMIF(Consolidado!$M13:$M190,Q15,Consolidado!$K13:$K190)</f>
        <v>1228298</v>
      </c>
      <c r="K16" s="600"/>
      <c r="L16" s="605">
        <v>965456</v>
      </c>
      <c r="M16" s="634"/>
      <c r="N16" s="596"/>
      <c r="P16" s="597"/>
      <c r="Q16" s="597"/>
      <c r="R16" s="596"/>
      <c r="T16" s="597"/>
      <c r="U16" s="391"/>
    </row>
    <row r="17" spans="1:29">
      <c r="B17" s="21" t="s">
        <v>766</v>
      </c>
      <c r="I17" s="657"/>
      <c r="J17" s="599">
        <f>SUMIF(Consolidado!$M11:$M188,Q17,Consolidado!$K11:$K188)</f>
        <v>170301</v>
      </c>
      <c r="K17" s="600"/>
      <c r="L17" s="599">
        <v>251815</v>
      </c>
      <c r="M17" s="743"/>
      <c r="N17" s="742">
        <f>ROUND(+J17-R17,0)</f>
        <v>-81514</v>
      </c>
      <c r="O17" s="744"/>
      <c r="P17" s="745">
        <f>ROUND(+L17-T17,0)</f>
        <v>216558</v>
      </c>
      <c r="Q17" s="773" t="s">
        <v>25</v>
      </c>
      <c r="R17" s="599">
        <v>251815</v>
      </c>
      <c r="S17" s="600"/>
      <c r="T17" s="557">
        <v>35257.11</v>
      </c>
      <c r="U17" s="391"/>
      <c r="V17" s="24">
        <f>ROUND(J17,0)</f>
        <v>170301</v>
      </c>
      <c r="X17" s="24">
        <f>ROUND(L17,0)</f>
        <v>251815</v>
      </c>
      <c r="AB17" s="391"/>
    </row>
    <row r="18" spans="1:29">
      <c r="B18" s="21" t="s">
        <v>767</v>
      </c>
      <c r="I18" s="657"/>
      <c r="J18" s="601">
        <f>SUMIF(Consolidado!$M12:$M189,Q18,Consolidado!$K12:$K189)</f>
        <v>90641</v>
      </c>
      <c r="K18" s="600"/>
      <c r="L18" s="601">
        <v>52023</v>
      </c>
      <c r="M18" s="743"/>
      <c r="N18" s="742">
        <f>+J18-R18</f>
        <v>38618</v>
      </c>
      <c r="O18" s="744"/>
      <c r="P18" s="745">
        <f>ROUND(+L18-T18,0)</f>
        <v>41392</v>
      </c>
      <c r="Q18" s="773" t="s">
        <v>26</v>
      </c>
      <c r="R18" s="599">
        <v>52023</v>
      </c>
      <c r="S18" s="600"/>
      <c r="T18" s="557">
        <v>10631.03</v>
      </c>
      <c r="U18" s="391"/>
      <c r="V18" s="24">
        <f>ROUND(J18,0)</f>
        <v>90641</v>
      </c>
      <c r="X18" s="24">
        <f>ROUND(L18,0)</f>
        <v>52023</v>
      </c>
      <c r="AB18" s="391"/>
    </row>
    <row r="19" spans="1:29" ht="18" customHeight="1">
      <c r="B19" s="21" t="s">
        <v>1450</v>
      </c>
      <c r="C19" s="604"/>
      <c r="D19" s="604"/>
      <c r="I19" s="657" t="s">
        <v>665</v>
      </c>
      <c r="J19" s="605">
        <f>SUM(J16:J18)</f>
        <v>1489240</v>
      </c>
      <c r="K19" s="600"/>
      <c r="L19" s="605">
        <f>SUM(L16:L18)</f>
        <v>1269294</v>
      </c>
      <c r="M19" s="749"/>
      <c r="N19" s="745">
        <f>SUM(N17:N18)</f>
        <v>-42896</v>
      </c>
      <c r="O19" s="744"/>
      <c r="P19" s="745">
        <f>SUM(P17:P18)</f>
        <v>257950</v>
      </c>
      <c r="Q19" s="605"/>
      <c r="R19" s="605">
        <v>1269294</v>
      </c>
      <c r="S19" s="600"/>
      <c r="T19" s="605">
        <v>810847.58000000007</v>
      </c>
      <c r="U19" s="391"/>
      <c r="V19" s="24">
        <f>SUM(V17:V18)</f>
        <v>260942</v>
      </c>
      <c r="X19" s="24">
        <f>SUM(X17:X18)</f>
        <v>303838</v>
      </c>
      <c r="Y19" s="391">
        <f>+J19-Consolidado!K130-Consolidado!K131-Consolidado!K151</f>
        <v>0</v>
      </c>
      <c r="AB19" s="21" t="s">
        <v>62</v>
      </c>
    </row>
    <row r="20" spans="1:29">
      <c r="C20" s="604"/>
      <c r="D20" s="604"/>
      <c r="I20" s="657"/>
      <c r="J20" s="605"/>
      <c r="K20" s="600"/>
      <c r="L20" s="605"/>
      <c r="M20" s="749"/>
      <c r="N20" s="745"/>
      <c r="O20" s="744"/>
      <c r="P20" s="745"/>
      <c r="Q20" s="605"/>
      <c r="R20" s="605"/>
      <c r="S20" s="600"/>
      <c r="T20" s="605"/>
      <c r="U20" s="391"/>
      <c r="V20" s="24">
        <f>ROUND(J20,0)</f>
        <v>0</v>
      </c>
      <c r="X20" s="24">
        <f>ROUND(L20,0)</f>
        <v>0</v>
      </c>
    </row>
    <row r="21" spans="1:29">
      <c r="B21" s="21" t="s">
        <v>31</v>
      </c>
      <c r="I21" s="657"/>
      <c r="J21" s="599">
        <f>+ROUND('Anexo 37'!C8,0)</f>
        <v>72244</v>
      </c>
      <c r="K21" s="600"/>
      <c r="L21" s="599">
        <v>205198</v>
      </c>
      <c r="M21" s="746"/>
      <c r="N21" s="742">
        <f>+J21-R21</f>
        <v>-132954</v>
      </c>
      <c r="O21" s="744"/>
      <c r="P21" s="751">
        <f>ROUND(+L21-T21,0)</f>
        <v>115058</v>
      </c>
      <c r="Q21" s="603"/>
      <c r="R21" s="599">
        <v>205198</v>
      </c>
      <c r="S21" s="600"/>
      <c r="T21" s="603">
        <v>90139.57</v>
      </c>
      <c r="U21" s="391"/>
      <c r="V21" s="24">
        <f>ROUND(J21,0)</f>
        <v>72244</v>
      </c>
      <c r="X21" s="24">
        <f>ROUND(L21,0)</f>
        <v>205198</v>
      </c>
    </row>
    <row r="22" spans="1:29">
      <c r="B22" s="21" t="s">
        <v>32</v>
      </c>
      <c r="I22" s="657" t="s">
        <v>802</v>
      </c>
      <c r="J22" s="48">
        <f>+Consolidado!K153+ROUND(SUM('Anexo 37'!C9:C25),0)</f>
        <v>36830</v>
      </c>
      <c r="K22" s="600"/>
      <c r="L22" s="48">
        <v>165977</v>
      </c>
      <c r="M22" s="746"/>
      <c r="N22" s="742">
        <f>+J22-R22</f>
        <v>-129147</v>
      </c>
      <c r="O22" s="744"/>
      <c r="P22" s="751">
        <f>ROUND(+L22-T22,0)</f>
        <v>91156</v>
      </c>
      <c r="Q22" s="603"/>
      <c r="R22" s="54">
        <v>165977</v>
      </c>
      <c r="S22" s="600"/>
      <c r="T22" s="603">
        <v>74820.97</v>
      </c>
      <c r="U22" s="391"/>
      <c r="V22" s="24">
        <f>ROUND(J22,0)</f>
        <v>36830</v>
      </c>
      <c r="X22" s="24">
        <f>ROUND(L22,0)</f>
        <v>165977</v>
      </c>
    </row>
    <row r="23" spans="1:29">
      <c r="A23" s="21" t="s">
        <v>1452</v>
      </c>
      <c r="C23" s="604"/>
      <c r="D23" s="604"/>
      <c r="I23" s="766"/>
      <c r="J23" s="21"/>
      <c r="K23" s="21"/>
      <c r="M23" s="749"/>
      <c r="N23" s="745"/>
      <c r="O23" s="744"/>
      <c r="P23" s="745"/>
      <c r="Q23" s="605"/>
      <c r="R23" s="605"/>
      <c r="S23" s="600"/>
      <c r="T23" s="605"/>
      <c r="U23" s="391"/>
      <c r="X23" s="24"/>
    </row>
    <row r="24" spans="1:29">
      <c r="B24" s="21" t="s">
        <v>1207</v>
      </c>
      <c r="C24" s="604"/>
      <c r="D24" s="604"/>
      <c r="I24" s="880"/>
      <c r="J24" s="605">
        <f>SUM(J21:J22)+J19</f>
        <v>1598314</v>
      </c>
      <c r="K24" s="600"/>
      <c r="L24" s="605">
        <f>SUM(L21:L22)+L19</f>
        <v>1640469</v>
      </c>
      <c r="M24" s="749"/>
      <c r="N24" s="745"/>
      <c r="O24" s="744"/>
      <c r="P24" s="745"/>
      <c r="Q24" s="605"/>
      <c r="R24" s="605"/>
      <c r="S24" s="600"/>
      <c r="T24" s="605"/>
      <c r="U24" s="391"/>
      <c r="X24" s="24"/>
    </row>
    <row r="25" spans="1:29" ht="6.75" customHeight="1">
      <c r="C25" s="604"/>
      <c r="D25" s="604"/>
      <c r="I25" s="766"/>
      <c r="J25" s="605"/>
      <c r="K25" s="600"/>
      <c r="L25" s="605"/>
      <c r="M25" s="749"/>
      <c r="N25" s="745"/>
      <c r="O25" s="744"/>
      <c r="P25" s="745"/>
      <c r="Q25" s="605"/>
      <c r="R25" s="605"/>
      <c r="S25" s="600"/>
      <c r="T25" s="605"/>
      <c r="U25" s="391"/>
      <c r="X25" s="24"/>
    </row>
    <row r="26" spans="1:29">
      <c r="A26" s="21" t="s">
        <v>28</v>
      </c>
      <c r="C26" s="604"/>
      <c r="D26" s="604"/>
      <c r="I26" s="657"/>
      <c r="J26" s="605"/>
      <c r="K26" s="600"/>
      <c r="L26" s="605"/>
      <c r="M26" s="749"/>
      <c r="N26" s="745"/>
      <c r="O26" s="744"/>
      <c r="P26" s="745"/>
      <c r="Q26" s="605"/>
      <c r="R26" s="605"/>
      <c r="S26" s="600"/>
      <c r="T26" s="605"/>
      <c r="U26" s="391"/>
      <c r="X26" s="24"/>
    </row>
    <row r="27" spans="1:29">
      <c r="A27" s="595"/>
      <c r="B27" s="21" t="s">
        <v>19</v>
      </c>
      <c r="C27" s="604"/>
      <c r="D27" s="604"/>
      <c r="I27" s="657" t="s">
        <v>665</v>
      </c>
      <c r="J27" s="605">
        <f>SUMIF(Consolidado!$M13:$M190,"Financiamiento",Consolidado!$K13:$K190)</f>
        <v>789</v>
      </c>
      <c r="K27" s="600"/>
      <c r="L27" s="605">
        <v>1037</v>
      </c>
      <c r="M27" s="743"/>
      <c r="N27" s="745">
        <f>+J27-R27</f>
        <v>-248</v>
      </c>
      <c r="O27" s="744"/>
      <c r="P27" s="743">
        <f>+L27-T27</f>
        <v>1037</v>
      </c>
      <c r="Q27" s="557"/>
      <c r="R27" s="605">
        <v>1037</v>
      </c>
      <c r="S27" s="600"/>
      <c r="T27" s="557">
        <v>0</v>
      </c>
      <c r="U27" s="391"/>
      <c r="X27" s="24"/>
      <c r="Y27" s="391">
        <f>+J27-Consolidado!K140</f>
        <v>0</v>
      </c>
    </row>
    <row r="28" spans="1:29">
      <c r="A28" s="595"/>
      <c r="C28" s="604"/>
      <c r="D28" s="604"/>
      <c r="I28" s="880"/>
      <c r="J28" s="605"/>
      <c r="K28" s="600"/>
      <c r="L28" s="605"/>
      <c r="M28" s="743"/>
      <c r="N28" s="745"/>
      <c r="O28" s="744"/>
      <c r="P28" s="743"/>
      <c r="Q28" s="557"/>
      <c r="R28" s="605"/>
      <c r="S28" s="600"/>
      <c r="T28" s="557"/>
      <c r="U28" s="391"/>
      <c r="X28" s="24"/>
    </row>
    <row r="29" spans="1:29">
      <c r="A29" s="21" t="s">
        <v>1206</v>
      </c>
      <c r="I29" s="880"/>
      <c r="J29" s="605"/>
      <c r="K29" s="600"/>
      <c r="L29" s="605"/>
      <c r="M29" s="743"/>
      <c r="N29" s="745"/>
      <c r="O29" s="744"/>
      <c r="P29" s="743"/>
      <c r="Q29" s="557"/>
      <c r="R29" s="605"/>
      <c r="S29" s="600"/>
      <c r="T29" s="557"/>
      <c r="U29" s="391"/>
      <c r="X29" s="24"/>
    </row>
    <row r="30" spans="1:29">
      <c r="B30" s="21" t="s">
        <v>30</v>
      </c>
      <c r="I30" s="657" t="s">
        <v>666</v>
      </c>
      <c r="J30" s="601">
        <f>-SUMIF(Consolidado!$M16:$M195,B30,Consolidado!$K16:$K195)</f>
        <v>525315</v>
      </c>
      <c r="K30" s="600"/>
      <c r="L30" s="601">
        <v>584295</v>
      </c>
      <c r="M30" s="746"/>
      <c r="N30" s="747">
        <f>+J30-R30</f>
        <v>-58980</v>
      </c>
      <c r="O30" s="744"/>
      <c r="P30" s="748">
        <f>ROUND(+L30-T30,0)</f>
        <v>7388</v>
      </c>
      <c r="Q30" s="606"/>
      <c r="R30" s="601">
        <v>584295</v>
      </c>
      <c r="S30" s="600"/>
      <c r="T30" s="602">
        <v>576906.78</v>
      </c>
      <c r="U30" s="391"/>
      <c r="V30" s="602">
        <f>ROUND(J30,0)</f>
        <v>525315</v>
      </c>
      <c r="X30" s="602">
        <f>ROUND(L30,0)</f>
        <v>584295</v>
      </c>
      <c r="Y30" s="391">
        <f>+J30+Consolidado!K154</f>
        <v>0</v>
      </c>
      <c r="AB30" s="21" t="s">
        <v>63</v>
      </c>
      <c r="AC30" s="391"/>
    </row>
    <row r="31" spans="1:29">
      <c r="A31" s="595"/>
      <c r="C31" s="604"/>
      <c r="D31" s="604"/>
      <c r="I31" s="880"/>
      <c r="J31" s="605"/>
      <c r="K31" s="600"/>
      <c r="L31" s="605"/>
      <c r="M31" s="743"/>
      <c r="N31" s="745"/>
      <c r="O31" s="744"/>
      <c r="P31" s="743"/>
      <c r="Q31" s="557"/>
      <c r="R31" s="605"/>
      <c r="S31" s="600"/>
      <c r="T31" s="557"/>
      <c r="U31" s="391"/>
      <c r="X31" s="24"/>
    </row>
    <row r="32" spans="1:29" ht="11.25" customHeight="1">
      <c r="A32" s="21" t="s">
        <v>1451</v>
      </c>
      <c r="C32" s="604"/>
      <c r="D32" s="604"/>
      <c r="I32" s="657"/>
      <c r="J32" s="605"/>
      <c r="K32" s="600"/>
      <c r="L32" s="605"/>
      <c r="M32" s="749"/>
      <c r="N32" s="745"/>
      <c r="O32" s="744"/>
      <c r="P32" s="745"/>
      <c r="Q32" s="605"/>
      <c r="R32" s="605"/>
      <c r="S32" s="600"/>
      <c r="T32" s="605"/>
      <c r="U32" s="391"/>
      <c r="X32" s="24"/>
    </row>
    <row r="33" spans="1:29">
      <c r="B33" s="21" t="s">
        <v>1207</v>
      </c>
      <c r="I33" s="657"/>
      <c r="J33" s="601">
        <f>+J24-J27-J30</f>
        <v>1072210</v>
      </c>
      <c r="K33" s="605"/>
      <c r="L33" s="601">
        <f>+L24-L27-L30</f>
        <v>1055137</v>
      </c>
      <c r="M33" s="749"/>
      <c r="N33" s="747">
        <f>+N19-N27-N30</f>
        <v>16332</v>
      </c>
      <c r="O33" s="752"/>
      <c r="P33" s="747">
        <f>+P19-P27-P30</f>
        <v>249525</v>
      </c>
      <c r="Q33" s="605"/>
      <c r="R33" s="601">
        <v>683962</v>
      </c>
      <c r="S33" s="605"/>
      <c r="T33" s="601">
        <v>233940.80000000005</v>
      </c>
      <c r="U33" s="391"/>
      <c r="V33" s="601">
        <f>-V30</f>
        <v>-525315</v>
      </c>
      <c r="X33" s="601">
        <f>-X30</f>
        <v>-584295</v>
      </c>
    </row>
    <row r="34" spans="1:29">
      <c r="A34" s="595"/>
      <c r="I34" s="657"/>
      <c r="J34" s="605"/>
      <c r="K34" s="600"/>
      <c r="L34" s="605"/>
      <c r="M34" s="749"/>
      <c r="N34" s="745"/>
      <c r="O34" s="744"/>
      <c r="P34" s="745"/>
      <c r="Q34" s="605"/>
      <c r="R34" s="605"/>
      <c r="S34" s="600"/>
      <c r="T34" s="605"/>
      <c r="U34" s="391"/>
      <c r="X34" s="24"/>
    </row>
    <row r="35" spans="1:29">
      <c r="A35" s="21" t="s">
        <v>1209</v>
      </c>
      <c r="B35" s="595"/>
      <c r="C35" s="595"/>
      <c r="D35" s="595"/>
      <c r="E35" s="595"/>
      <c r="F35" s="595"/>
      <c r="G35" s="595"/>
      <c r="H35" s="595"/>
      <c r="J35" s="606"/>
      <c r="K35" s="600"/>
      <c r="L35" s="606"/>
      <c r="M35" s="746"/>
      <c r="N35" s="750"/>
      <c r="O35" s="744"/>
      <c r="P35" s="750"/>
      <c r="Q35" s="606"/>
      <c r="R35" s="606"/>
      <c r="S35" s="600"/>
      <c r="T35" s="606"/>
      <c r="U35" s="391"/>
      <c r="X35" s="24"/>
    </row>
    <row r="36" spans="1:29" hidden="1">
      <c r="B36" s="21" t="s">
        <v>1208</v>
      </c>
      <c r="I36" s="799"/>
      <c r="J36" s="936" t="s">
        <v>9</v>
      </c>
      <c r="K36" s="600"/>
      <c r="L36" s="914" t="s">
        <v>9</v>
      </c>
      <c r="M36" s="746"/>
      <c r="N36" s="747"/>
      <c r="O36" s="744"/>
      <c r="P36" s="748"/>
      <c r="Q36" s="606"/>
      <c r="R36" s="601"/>
      <c r="S36" s="600"/>
      <c r="T36" s="602"/>
      <c r="U36" s="391"/>
      <c r="V36" s="602"/>
      <c r="X36" s="602"/>
      <c r="AC36" s="391"/>
    </row>
    <row r="37" spans="1:29">
      <c r="B37" s="21" t="s">
        <v>33</v>
      </c>
      <c r="I37" s="657"/>
      <c r="J37" s="607">
        <f>SUMIF(Consolidado!$M13:$M190,B37,Consolidado!$K13:$K190)</f>
        <v>7223</v>
      </c>
      <c r="K37" s="600"/>
      <c r="L37" s="607">
        <v>1806</v>
      </c>
      <c r="M37" s="753"/>
      <c r="N37" s="754">
        <f>+J37-R37</f>
        <v>5417</v>
      </c>
      <c r="O37" s="744"/>
      <c r="P37" s="754">
        <f>ROUND(+L37-T37,0)</f>
        <v>-13110</v>
      </c>
      <c r="Q37" s="608"/>
      <c r="R37" s="607">
        <v>1806</v>
      </c>
      <c r="S37" s="600"/>
      <c r="T37" s="607">
        <v>14916.06</v>
      </c>
      <c r="U37" s="391"/>
      <c r="V37" s="607">
        <f>ROUND(J37,0)</f>
        <v>7223</v>
      </c>
      <c r="X37" s="607">
        <f>ROUND(L37,0)</f>
        <v>1806</v>
      </c>
    </row>
    <row r="38" spans="1:29" ht="18" customHeight="1">
      <c r="B38" s="21" t="s">
        <v>759</v>
      </c>
      <c r="J38" s="608"/>
      <c r="K38" s="600"/>
      <c r="L38" s="608"/>
      <c r="M38" s="753"/>
      <c r="N38" s="755"/>
      <c r="O38" s="744"/>
      <c r="P38" s="755"/>
      <c r="Q38" s="608"/>
      <c r="R38" s="608"/>
      <c r="S38" s="600"/>
      <c r="T38" s="608"/>
      <c r="U38" s="391"/>
      <c r="X38" s="24"/>
    </row>
    <row r="39" spans="1:29">
      <c r="B39" s="21" t="s">
        <v>661</v>
      </c>
      <c r="I39" s="657"/>
      <c r="J39" s="602">
        <f>SUM(J33:J37)</f>
        <v>1079433</v>
      </c>
      <c r="K39" s="600"/>
      <c r="L39" s="602">
        <f>SUM(L33:L37)</f>
        <v>1056943</v>
      </c>
      <c r="M39" s="746"/>
      <c r="N39" s="748">
        <f>SUM(N21:N38)</f>
        <v>-299580</v>
      </c>
      <c r="O39" s="744"/>
      <c r="P39" s="748">
        <f>SUM(P21:P38)</f>
        <v>451054</v>
      </c>
      <c r="Q39" s="606"/>
      <c r="R39" s="602">
        <v>372981</v>
      </c>
      <c r="S39" s="600"/>
      <c r="T39" s="602">
        <v>179876.6</v>
      </c>
      <c r="U39" s="391"/>
      <c r="V39" s="602">
        <f>SUM(V21:V38)</f>
        <v>116297</v>
      </c>
      <c r="X39" s="602">
        <f>SUM(X21:X38)</f>
        <v>372981</v>
      </c>
      <c r="Y39" s="391">
        <f>+J39-Consolidado!K152-Consolidado!K153-Consolidado!K155</f>
        <v>963136</v>
      </c>
      <c r="AB39" s="391"/>
    </row>
    <row r="40" spans="1:29">
      <c r="I40" s="657"/>
      <c r="J40" s="603"/>
      <c r="K40" s="600"/>
      <c r="L40" s="603"/>
      <c r="M40" s="746"/>
      <c r="N40" s="751"/>
      <c r="O40" s="744"/>
      <c r="P40" s="751"/>
      <c r="Q40" s="603"/>
      <c r="R40" s="603"/>
      <c r="S40" s="600"/>
      <c r="T40" s="603"/>
      <c r="U40" s="391"/>
      <c r="X40" s="24"/>
      <c r="AB40" s="391"/>
    </row>
    <row r="41" spans="1:29">
      <c r="A41" s="21" t="s">
        <v>34</v>
      </c>
      <c r="B41" s="595"/>
      <c r="C41" s="595"/>
      <c r="D41" s="595"/>
      <c r="E41" s="595"/>
      <c r="F41" s="595"/>
      <c r="G41" s="595"/>
      <c r="H41" s="595"/>
      <c r="I41" s="657"/>
      <c r="J41" s="599"/>
      <c r="K41" s="600"/>
      <c r="L41" s="599"/>
      <c r="M41" s="749"/>
      <c r="N41" s="742"/>
      <c r="O41" s="744"/>
      <c r="P41" s="742"/>
      <c r="Q41" s="599"/>
      <c r="R41" s="599"/>
      <c r="S41" s="600"/>
      <c r="T41" s="599"/>
      <c r="U41" s="391"/>
      <c r="X41" s="24"/>
    </row>
    <row r="42" spans="1:29">
      <c r="A42" s="595"/>
      <c r="B42" s="21" t="s">
        <v>775</v>
      </c>
      <c r="C42" s="595"/>
      <c r="D42" s="595"/>
      <c r="E42" s="595"/>
      <c r="F42" s="595"/>
      <c r="G42" s="595"/>
      <c r="H42" s="595"/>
      <c r="I42" s="657" t="s">
        <v>667</v>
      </c>
      <c r="J42" s="599">
        <f>SUMIF(Consolidado!$M13:$M190,Q42,Consolidado!$K13:$K190)</f>
        <v>451326</v>
      </c>
      <c r="K42" s="600"/>
      <c r="L42" s="599">
        <v>598479</v>
      </c>
      <c r="M42" s="749"/>
      <c r="N42" s="742">
        <f t="shared" ref="N42:N50" si="0">+J42-R42</f>
        <v>-147153</v>
      </c>
      <c r="O42" s="744"/>
      <c r="P42" s="742">
        <f t="shared" ref="P42:P50" si="1">ROUND(+L42-T42,0)</f>
        <v>378547</v>
      </c>
      <c r="Q42" s="599" t="s">
        <v>35</v>
      </c>
      <c r="R42" s="599">
        <v>598479</v>
      </c>
      <c r="S42" s="600"/>
      <c r="T42" s="599">
        <v>219931.85</v>
      </c>
      <c r="U42" s="391"/>
      <c r="V42" s="24">
        <f t="shared" ref="V42:V51" si="2">ROUND(J42,0)</f>
        <v>451326</v>
      </c>
      <c r="X42" s="24">
        <f t="shared" ref="X42:X51" si="3">ROUND(L42,0)</f>
        <v>598479</v>
      </c>
      <c r="AB42" s="391"/>
    </row>
    <row r="43" spans="1:29">
      <c r="A43" s="595"/>
      <c r="B43" s="562" t="s">
        <v>36</v>
      </c>
      <c r="C43" s="595"/>
      <c r="D43" s="595"/>
      <c r="E43" s="595"/>
      <c r="F43" s="595"/>
      <c r="G43" s="595"/>
      <c r="H43" s="595"/>
      <c r="I43" s="657"/>
      <c r="J43" s="599">
        <f>+ROUND(SUM('Anexo 27'!C8:C9,'Anexo 27'!C11:C12,'Anexo 27'!C55:C56),0)</f>
        <v>6111</v>
      </c>
      <c r="K43" s="600"/>
      <c r="L43" s="599">
        <v>16086</v>
      </c>
      <c r="M43" s="749"/>
      <c r="N43" s="742">
        <f t="shared" si="0"/>
        <v>-9975</v>
      </c>
      <c r="O43" s="744"/>
      <c r="P43" s="742">
        <f t="shared" si="1"/>
        <v>8789</v>
      </c>
      <c r="Q43" s="599"/>
      <c r="R43" s="599">
        <v>16086</v>
      </c>
      <c r="S43" s="600"/>
      <c r="T43" s="599">
        <v>7296.65</v>
      </c>
      <c r="U43" s="391"/>
      <c r="V43" s="24">
        <f t="shared" si="2"/>
        <v>6111</v>
      </c>
      <c r="X43" s="24">
        <f t="shared" si="3"/>
        <v>16086</v>
      </c>
      <c r="AB43" s="391"/>
    </row>
    <row r="44" spans="1:29">
      <c r="B44" s="21" t="s">
        <v>37</v>
      </c>
      <c r="I44" s="657"/>
      <c r="J44" s="599">
        <f>+ROUND('Anexo 27'!C17,0)</f>
        <v>15000</v>
      </c>
      <c r="K44" s="600"/>
      <c r="L44" s="599">
        <v>15000</v>
      </c>
      <c r="M44" s="749"/>
      <c r="N44" s="742">
        <f t="shared" si="0"/>
        <v>0</v>
      </c>
      <c r="O44" s="744"/>
      <c r="P44" s="742">
        <f t="shared" si="1"/>
        <v>0</v>
      </c>
      <c r="Q44" s="599"/>
      <c r="R44" s="599">
        <v>15000</v>
      </c>
      <c r="S44" s="600"/>
      <c r="T44" s="599">
        <v>15000</v>
      </c>
      <c r="U44" s="391"/>
      <c r="V44" s="24">
        <f t="shared" si="2"/>
        <v>15000</v>
      </c>
      <c r="X44" s="24">
        <f t="shared" si="3"/>
        <v>15000</v>
      </c>
      <c r="AB44" s="391"/>
    </row>
    <row r="45" spans="1:29">
      <c r="B45" s="21" t="s">
        <v>38</v>
      </c>
      <c r="I45" s="657"/>
      <c r="J45" s="599">
        <f>+ROUND(SUM('Anexo 27'!C18:C24),0)</f>
        <v>45931</v>
      </c>
      <c r="K45" s="600"/>
      <c r="L45" s="599">
        <v>34454</v>
      </c>
      <c r="M45" s="749"/>
      <c r="N45" s="742">
        <f t="shared" si="0"/>
        <v>11477</v>
      </c>
      <c r="O45" s="744"/>
      <c r="P45" s="742">
        <f t="shared" si="1"/>
        <v>4434</v>
      </c>
      <c r="Q45" s="599"/>
      <c r="R45" s="599">
        <v>34454</v>
      </c>
      <c r="S45" s="600"/>
      <c r="T45" s="599">
        <v>30019.579999999998</v>
      </c>
      <c r="U45" s="391"/>
      <c r="V45" s="24">
        <f t="shared" si="2"/>
        <v>45931</v>
      </c>
      <c r="X45" s="24">
        <f t="shared" si="3"/>
        <v>34454</v>
      </c>
      <c r="AB45" s="391"/>
    </row>
    <row r="46" spans="1:29">
      <c r="B46" s="21" t="s">
        <v>39</v>
      </c>
      <c r="I46" s="657"/>
      <c r="J46" s="599">
        <f>SUMIF(Consolidado!$M13:$M190,B46,Consolidado!$K13:$K190)+1</f>
        <v>79377</v>
      </c>
      <c r="K46" s="600"/>
      <c r="L46" s="599">
        <v>148725</v>
      </c>
      <c r="M46" s="749"/>
      <c r="N46" s="742">
        <f t="shared" si="0"/>
        <v>-69348</v>
      </c>
      <c r="O46" s="744"/>
      <c r="P46" s="742">
        <f t="shared" si="1"/>
        <v>134117</v>
      </c>
      <c r="Q46" s="599"/>
      <c r="R46" s="599">
        <v>148725</v>
      </c>
      <c r="S46" s="600"/>
      <c r="T46" s="599">
        <v>14607.63</v>
      </c>
      <c r="U46" s="391"/>
      <c r="V46" s="24">
        <f t="shared" si="2"/>
        <v>79377</v>
      </c>
      <c r="X46" s="24">
        <f t="shared" si="3"/>
        <v>148725</v>
      </c>
      <c r="AB46" s="391"/>
    </row>
    <row r="47" spans="1:29">
      <c r="B47" s="3" t="s">
        <v>40</v>
      </c>
      <c r="I47" s="657">
        <v>16</v>
      </c>
      <c r="J47" s="599">
        <f>SUMIF(Consolidado!$M14:$M191,B47,Consolidado!$K14:$K191)</f>
        <v>75288</v>
      </c>
      <c r="K47" s="600"/>
      <c r="L47" s="73">
        <v>75288</v>
      </c>
      <c r="M47" s="510"/>
      <c r="N47" s="742">
        <f t="shared" si="0"/>
        <v>0</v>
      </c>
      <c r="O47" s="744"/>
      <c r="P47" s="510">
        <f t="shared" si="1"/>
        <v>-2340</v>
      </c>
      <c r="Q47" s="73"/>
      <c r="R47" s="599">
        <v>75288</v>
      </c>
      <c r="S47" s="600"/>
      <c r="T47" s="73">
        <v>77628.479999999996</v>
      </c>
      <c r="U47" s="391"/>
      <c r="V47" s="24">
        <f t="shared" si="2"/>
        <v>75288</v>
      </c>
      <c r="X47" s="24">
        <f t="shared" si="3"/>
        <v>75288</v>
      </c>
      <c r="AB47" s="391"/>
    </row>
    <row r="48" spans="1:29">
      <c r="B48" s="21" t="s">
        <v>41</v>
      </c>
      <c r="I48" s="657" t="s">
        <v>742</v>
      </c>
      <c r="J48" s="599">
        <f>SUMIF(Consolidado!$M15:$M192,B48,Consolidado!$K15:$K192)</f>
        <v>62641</v>
      </c>
      <c r="K48" s="600"/>
      <c r="L48" s="599">
        <v>61562</v>
      </c>
      <c r="M48" s="749"/>
      <c r="N48" s="742">
        <f t="shared" si="0"/>
        <v>1079</v>
      </c>
      <c r="O48" s="744"/>
      <c r="P48" s="742">
        <f t="shared" si="1"/>
        <v>53733</v>
      </c>
      <c r="Q48" s="599"/>
      <c r="R48" s="599">
        <v>61562</v>
      </c>
      <c r="S48" s="600"/>
      <c r="T48" s="599">
        <v>7828.59</v>
      </c>
      <c r="U48" s="391"/>
      <c r="V48" s="24">
        <f t="shared" si="2"/>
        <v>62641</v>
      </c>
      <c r="X48" s="24">
        <f t="shared" si="3"/>
        <v>61562</v>
      </c>
      <c r="AB48" s="391"/>
    </row>
    <row r="49" spans="1:28">
      <c r="B49" s="21" t="s">
        <v>42</v>
      </c>
      <c r="I49" s="657"/>
      <c r="J49" s="599">
        <f>SUMIF(Consolidado!$M16:$M195,B49,Consolidado!$K16:$K195)</f>
        <v>2266</v>
      </c>
      <c r="K49" s="600"/>
      <c r="L49" s="599">
        <v>10072</v>
      </c>
      <c r="M49" s="749"/>
      <c r="N49" s="742">
        <f t="shared" si="0"/>
        <v>-7806</v>
      </c>
      <c r="O49" s="744"/>
      <c r="P49" s="742">
        <f t="shared" si="1"/>
        <v>-26408</v>
      </c>
      <c r="Q49" s="599"/>
      <c r="R49" s="599">
        <v>10072</v>
      </c>
      <c r="S49" s="600"/>
      <c r="T49" s="599">
        <v>36479.57</v>
      </c>
      <c r="U49" s="391"/>
      <c r="V49" s="24">
        <f t="shared" si="2"/>
        <v>2266</v>
      </c>
      <c r="X49" s="24">
        <f t="shared" si="3"/>
        <v>10072</v>
      </c>
      <c r="AB49" s="391"/>
    </row>
    <row r="50" spans="1:28">
      <c r="B50" s="21" t="s">
        <v>43</v>
      </c>
      <c r="I50" s="657" t="s">
        <v>743</v>
      </c>
      <c r="J50" s="48">
        <f>+Consolidado!K163+ROUND(SUM('Anexo 27'!C10,'Anexo 27'!C13,'Anexo 27'!C27:C52,'Anexo 27'!C59),0)+Consolidado!D166</f>
        <v>163038</v>
      </c>
      <c r="K50" s="609"/>
      <c r="L50" s="77">
        <v>210590</v>
      </c>
      <c r="M50" s="510"/>
      <c r="N50" s="747">
        <f t="shared" si="0"/>
        <v>-47552</v>
      </c>
      <c r="O50" s="752"/>
      <c r="P50" s="756">
        <f t="shared" si="1"/>
        <v>195956</v>
      </c>
      <c r="Q50" s="73"/>
      <c r="R50" s="48">
        <v>210590</v>
      </c>
      <c r="S50" s="609"/>
      <c r="T50" s="77">
        <v>14634.369999999997</v>
      </c>
      <c r="U50" s="391"/>
      <c r="V50" s="610">
        <f t="shared" si="2"/>
        <v>163038</v>
      </c>
      <c r="X50" s="610">
        <f t="shared" si="3"/>
        <v>210590</v>
      </c>
      <c r="AB50" s="391"/>
    </row>
    <row r="51" spans="1:28">
      <c r="I51" s="657"/>
      <c r="J51" s="605"/>
      <c r="K51" s="609"/>
      <c r="L51" s="605"/>
      <c r="M51" s="749"/>
      <c r="N51" s="745"/>
      <c r="O51" s="752"/>
      <c r="P51" s="745"/>
      <c r="Q51" s="605"/>
      <c r="R51" s="605"/>
      <c r="S51" s="609"/>
      <c r="T51" s="605"/>
      <c r="U51" s="391"/>
      <c r="V51" s="24">
        <f t="shared" si="2"/>
        <v>0</v>
      </c>
      <c r="X51" s="24">
        <f t="shared" si="3"/>
        <v>0</v>
      </c>
      <c r="AB51" s="391"/>
    </row>
    <row r="52" spans="1:28">
      <c r="B52" s="21" t="s">
        <v>44</v>
      </c>
      <c r="E52" s="93"/>
      <c r="F52" s="93"/>
      <c r="G52" s="93"/>
      <c r="H52" s="93"/>
      <c r="I52" s="712">
        <v>21</v>
      </c>
      <c r="J52" s="48">
        <f>SUM(J42:J51)</f>
        <v>900978</v>
      </c>
      <c r="K52" s="600"/>
      <c r="L52" s="48">
        <f>SUM(L42:L51)</f>
        <v>1170256</v>
      </c>
      <c r="M52" s="745"/>
      <c r="N52" s="747">
        <f>SUM(N42:N51)</f>
        <v>-269278</v>
      </c>
      <c r="O52" s="744"/>
      <c r="P52" s="747">
        <f>SUM(P42:P51)</f>
        <v>746828</v>
      </c>
      <c r="Q52" s="632"/>
      <c r="R52" s="48">
        <v>1170256</v>
      </c>
      <c r="S52" s="600"/>
      <c r="T52" s="48">
        <v>423427.72000000003</v>
      </c>
      <c r="U52" s="391"/>
      <c r="V52" s="48">
        <f>SUM(V42:V51)</f>
        <v>900978</v>
      </c>
      <c r="X52" s="48">
        <f>SUM(X42:X51)</f>
        <v>1170256</v>
      </c>
      <c r="Y52" s="391">
        <f>+J52-Consolidado!K172</f>
        <v>0</v>
      </c>
    </row>
    <row r="53" spans="1:28">
      <c r="E53" s="93"/>
      <c r="F53" s="93"/>
      <c r="G53" s="93"/>
      <c r="H53" s="93"/>
      <c r="I53" s="93"/>
      <c r="J53" s="605"/>
      <c r="K53" s="600"/>
      <c r="L53" s="605"/>
      <c r="M53" s="749"/>
      <c r="N53" s="745"/>
      <c r="O53" s="744"/>
      <c r="P53" s="745"/>
      <c r="Q53" s="605"/>
      <c r="R53" s="605"/>
      <c r="S53" s="600"/>
      <c r="T53" s="605"/>
      <c r="U53" s="391"/>
      <c r="V53" s="24">
        <f>ROUND(J53,0)</f>
        <v>0</v>
      </c>
      <c r="X53" s="24">
        <f>ROUND(L53,0)</f>
        <v>0</v>
      </c>
    </row>
    <row r="54" spans="1:28">
      <c r="A54" s="21" t="s">
        <v>851</v>
      </c>
      <c r="B54" s="595"/>
      <c r="C54" s="595"/>
      <c r="E54" s="598"/>
      <c r="I54" s="657"/>
      <c r="J54" s="611">
        <f>+J39-J52</f>
        <v>178455</v>
      </c>
      <c r="K54" s="600"/>
      <c r="L54" s="611">
        <f>(+L39-L52)</f>
        <v>-113313</v>
      </c>
      <c r="M54" s="757"/>
      <c r="N54" s="758">
        <f>+N33+N39-N52</f>
        <v>-13970</v>
      </c>
      <c r="O54" s="744"/>
      <c r="P54" s="758">
        <f>+P33+P39-P52</f>
        <v>-46249</v>
      </c>
      <c r="Q54" s="611"/>
      <c r="R54" s="611">
        <v>-113313</v>
      </c>
      <c r="S54" s="600"/>
      <c r="T54" s="611">
        <v>-9610.320000000007</v>
      </c>
      <c r="U54" s="391"/>
      <c r="V54" s="24">
        <f>ROUND(J54,0)</f>
        <v>178455</v>
      </c>
      <c r="X54" s="24">
        <f>ROUND(L54,0)</f>
        <v>-113313</v>
      </c>
      <c r="Y54" s="391">
        <f>+J54-Consolidado!K174</f>
        <v>0</v>
      </c>
    </row>
    <row r="55" spans="1:28">
      <c r="A55" s="595"/>
      <c r="B55" s="595"/>
      <c r="E55" s="598"/>
      <c r="I55" s="657"/>
      <c r="J55" s="606"/>
      <c r="K55" s="600"/>
      <c r="L55" s="606"/>
      <c r="M55" s="746"/>
      <c r="N55" s="750"/>
      <c r="O55" s="744"/>
      <c r="P55" s="750"/>
      <c r="Q55" s="606"/>
      <c r="R55" s="606"/>
      <c r="S55" s="600"/>
      <c r="T55" s="606"/>
      <c r="U55" s="391"/>
      <c r="X55" s="24"/>
    </row>
    <row r="56" spans="1:28">
      <c r="A56" s="10" t="s">
        <v>45</v>
      </c>
      <c r="B56" s="10"/>
      <c r="C56" s="10"/>
      <c r="D56" s="10"/>
      <c r="E56" s="10"/>
      <c r="F56" s="10"/>
      <c r="G56" s="10"/>
      <c r="H56" s="10"/>
      <c r="I56" s="657" t="s">
        <v>668</v>
      </c>
      <c r="J56" s="565">
        <f>-SUMIF(Consolidado!$M16:$M195,A56,Consolidado!$K16:$K195)</f>
        <v>38193</v>
      </c>
      <c r="K56" s="600"/>
      <c r="L56" s="565" t="s">
        <v>9</v>
      </c>
      <c r="M56" s="743"/>
      <c r="N56" s="747">
        <f>+J56-R56</f>
        <v>38193</v>
      </c>
      <c r="O56" s="744"/>
      <c r="P56" s="759" t="e">
        <f>+L56-T56</f>
        <v>#VALUE!</v>
      </c>
      <c r="Q56" s="2"/>
      <c r="R56" s="6">
        <v>0</v>
      </c>
      <c r="S56" s="623"/>
      <c r="T56" s="6">
        <v>0</v>
      </c>
      <c r="U56" s="391"/>
      <c r="V56" s="601">
        <f>ROUND(J56,0)</f>
        <v>38193</v>
      </c>
      <c r="X56" s="601">
        <v>0</v>
      </c>
      <c r="AB56" s="21" t="s">
        <v>64</v>
      </c>
    </row>
    <row r="57" spans="1:28">
      <c r="I57" s="657"/>
      <c r="J57" s="605"/>
      <c r="K57" s="600"/>
      <c r="L57" s="605"/>
      <c r="M57" s="749"/>
      <c r="N57" s="745"/>
      <c r="O57" s="744"/>
      <c r="P57" s="745"/>
      <c r="Q57" s="605"/>
      <c r="R57" s="605"/>
      <c r="S57" s="600"/>
      <c r="T57" s="605"/>
      <c r="U57" s="391"/>
      <c r="V57" s="24">
        <f>ROUND(J57,0)</f>
        <v>0</v>
      </c>
      <c r="X57" s="24">
        <f>ROUND(L57,0)</f>
        <v>0</v>
      </c>
    </row>
    <row r="58" spans="1:28" ht="13.5" thickBot="1">
      <c r="A58" s="21" t="s">
        <v>1218</v>
      </c>
      <c r="B58" s="612"/>
      <c r="I58" s="657">
        <v>21</v>
      </c>
      <c r="J58" s="613">
        <f>+J54-J56</f>
        <v>140262</v>
      </c>
      <c r="K58" s="599"/>
      <c r="L58" s="613">
        <f>+L54</f>
        <v>-113313</v>
      </c>
      <c r="M58" s="745"/>
      <c r="N58" s="760">
        <f>+N54+N56</f>
        <v>24223</v>
      </c>
      <c r="O58" s="761"/>
      <c r="P58" s="760" t="e">
        <f>+P54+P56</f>
        <v>#VALUE!</v>
      </c>
      <c r="Q58" s="632"/>
      <c r="R58" s="613">
        <v>-113313</v>
      </c>
      <c r="S58" s="599"/>
      <c r="T58" s="613">
        <v>-9610.320000000007</v>
      </c>
      <c r="U58" s="391"/>
      <c r="V58" s="613">
        <f>+V54-V56</f>
        <v>140262</v>
      </c>
      <c r="X58" s="613">
        <f>+X54-X56</f>
        <v>-113313</v>
      </c>
      <c r="AB58" s="21" t="s">
        <v>91</v>
      </c>
    </row>
    <row r="59" spans="1:28">
      <c r="F59" s="595"/>
      <c r="I59" s="598"/>
      <c r="J59" s="54"/>
      <c r="K59" s="614"/>
      <c r="L59" s="615"/>
      <c r="M59" s="635"/>
      <c r="N59" s="54"/>
      <c r="O59" s="614"/>
      <c r="P59" s="615"/>
      <c r="Q59" s="615"/>
      <c r="R59" s="54"/>
      <c r="S59" s="614"/>
      <c r="T59" s="615"/>
    </row>
    <row r="60" spans="1:28">
      <c r="F60" s="595"/>
      <c r="I60" s="732"/>
      <c r="J60" s="54"/>
      <c r="K60" s="614"/>
      <c r="L60" s="615"/>
      <c r="M60" s="635"/>
      <c r="N60" s="54"/>
      <c r="O60" s="614"/>
      <c r="P60" s="615"/>
      <c r="Q60" s="615"/>
      <c r="R60" s="54"/>
      <c r="S60" s="614"/>
      <c r="T60" s="615"/>
    </row>
    <row r="61" spans="1:28">
      <c r="A61" s="21" t="str">
        <f>+'Estado de situación financiera'!A46</f>
        <v>Las notas en las páginas 6 a la 42 son parte integral de estos estados financieros consolidados intermedios.</v>
      </c>
      <c r="F61" s="595"/>
      <c r="I61" s="598"/>
      <c r="J61" s="616"/>
      <c r="K61" s="614"/>
      <c r="N61" s="54"/>
      <c r="O61" s="614"/>
      <c r="R61" s="616"/>
      <c r="S61" s="614"/>
    </row>
    <row r="62" spans="1:28">
      <c r="F62" s="595"/>
      <c r="I62" s="598"/>
      <c r="J62" s="761">
        <f>+J58-Consolidado!K183</f>
        <v>0</v>
      </c>
      <c r="K62" s="614"/>
      <c r="L62" s="391"/>
      <c r="N62" s="54"/>
      <c r="O62" s="614"/>
      <c r="R62" s="616"/>
      <c r="S62" s="614"/>
    </row>
    <row r="63" spans="1:28">
      <c r="F63" s="595"/>
      <c r="I63" s="598"/>
      <c r="J63" s="742"/>
      <c r="K63" s="614"/>
      <c r="N63" s="54"/>
      <c r="O63" s="614"/>
      <c r="R63" s="54"/>
      <c r="S63" s="614"/>
    </row>
    <row r="64" spans="1:28">
      <c r="F64" s="595"/>
      <c r="I64" s="598"/>
      <c r="J64" s="742"/>
      <c r="K64" s="614"/>
      <c r="N64" s="54"/>
      <c r="O64" s="614"/>
      <c r="R64" s="54"/>
      <c r="S64" s="614"/>
    </row>
    <row r="65" spans="1:24">
      <c r="B65" s="617"/>
      <c r="C65" s="617"/>
      <c r="D65" s="617"/>
      <c r="E65" s="617"/>
      <c r="F65" s="618"/>
      <c r="G65" s="619"/>
      <c r="H65" s="620"/>
      <c r="I65" s="621"/>
      <c r="J65" s="319"/>
      <c r="K65" s="622"/>
      <c r="N65" s="65"/>
      <c r="O65" s="622"/>
      <c r="R65" s="65"/>
      <c r="S65" s="622"/>
    </row>
    <row r="66" spans="1:24">
      <c r="A66" s="1009"/>
      <c r="B66" s="1009"/>
      <c r="C66" s="1009"/>
      <c r="D66" s="1009"/>
      <c r="E66" s="1009"/>
      <c r="F66" s="1009"/>
      <c r="G66" s="1009"/>
      <c r="H66" s="1009"/>
      <c r="I66" s="1009"/>
      <c r="J66" s="1009"/>
      <c r="K66" s="1009"/>
      <c r="L66" s="1009"/>
      <c r="M66" s="626"/>
      <c r="N66" s="624"/>
      <c r="O66" s="624"/>
      <c r="P66" s="624"/>
      <c r="Q66" s="624"/>
      <c r="R66" s="624"/>
      <c r="S66" s="624"/>
      <c r="T66" s="624"/>
    </row>
    <row r="67" spans="1:24">
      <c r="A67" s="622"/>
      <c r="B67" s="622"/>
      <c r="C67" s="622"/>
      <c r="D67" s="622"/>
      <c r="E67" s="622"/>
      <c r="F67" s="622"/>
      <c r="G67" s="622"/>
      <c r="H67" s="622"/>
      <c r="I67" s="622"/>
    </row>
    <row r="68" spans="1:24">
      <c r="A68" s="1010"/>
      <c r="B68" s="1010"/>
      <c r="C68" s="1010"/>
      <c r="D68" s="1010"/>
      <c r="E68" s="1010"/>
      <c r="F68" s="1010"/>
      <c r="G68" s="1010"/>
      <c r="H68" s="1010"/>
      <c r="I68" s="1010"/>
      <c r="J68" s="1010"/>
      <c r="K68" s="1010"/>
      <c r="L68" s="1010"/>
      <c r="M68" s="625"/>
      <c r="N68" s="625"/>
      <c r="O68" s="625"/>
      <c r="P68" s="625"/>
      <c r="Q68" s="625"/>
      <c r="R68" s="625"/>
      <c r="S68" s="625"/>
      <c r="T68" s="625"/>
    </row>
    <row r="69" spans="1:24">
      <c r="A69" s="25"/>
      <c r="B69" s="25"/>
      <c r="C69" s="25"/>
      <c r="D69" s="25"/>
      <c r="E69" s="25"/>
      <c r="F69" s="25"/>
      <c r="G69" s="25"/>
      <c r="H69" s="25"/>
      <c r="I69" s="25"/>
      <c r="J69" s="758"/>
      <c r="L69" s="25"/>
      <c r="N69" s="82"/>
      <c r="P69" s="25"/>
      <c r="Q69" s="25"/>
      <c r="R69" s="82"/>
      <c r="T69" s="25"/>
    </row>
    <row r="70" spans="1:24">
      <c r="A70" s="25"/>
      <c r="B70" s="25"/>
      <c r="C70" s="25"/>
      <c r="D70" s="25"/>
      <c r="E70" s="25"/>
      <c r="F70" s="25"/>
      <c r="G70" s="25"/>
      <c r="H70" s="25"/>
      <c r="I70" s="25"/>
      <c r="J70" s="758"/>
      <c r="L70" s="25"/>
      <c r="N70" s="82"/>
      <c r="P70" s="25"/>
      <c r="Q70" s="25"/>
      <c r="R70" s="82"/>
      <c r="T70" s="25"/>
    </row>
    <row r="76" spans="1:24">
      <c r="L76" s="1010"/>
      <c r="M76" s="1010"/>
      <c r="N76" s="1010"/>
      <c r="O76" s="1010"/>
      <c r="P76" s="1010"/>
      <c r="Q76" s="1010"/>
      <c r="R76" s="1010"/>
      <c r="S76" s="1010"/>
      <c r="T76" s="1010"/>
      <c r="U76" s="1011"/>
      <c r="V76" s="1011"/>
      <c r="W76" s="1011"/>
      <c r="X76" s="1011"/>
    </row>
  </sheetData>
  <mergeCells count="5">
    <mergeCell ref="A66:L66"/>
    <mergeCell ref="A68:L68"/>
    <mergeCell ref="L76:X76"/>
    <mergeCell ref="J13:L13"/>
    <mergeCell ref="N13:P13"/>
  </mergeCells>
  <pageMargins left="0.98425196850393704" right="0.74803149606299213" top="0.47244094488188981" bottom="1.1811023622047245" header="0" footer="0.59055118110236227"/>
  <pageSetup scale="86" orientation="portrait" r:id="rId1"/>
  <headerFooter>
    <oddFooter xml:space="preserve">&amp;C- 3 -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F61"/>
  <sheetViews>
    <sheetView showGridLines="0" view="pageBreakPreview" topLeftCell="A7" zoomScale="90" zoomScaleNormal="80" zoomScaleSheetLayoutView="90" workbookViewId="0">
      <selection activeCell="I26" sqref="I26"/>
    </sheetView>
  </sheetViews>
  <sheetFormatPr baseColWidth="10" defaultColWidth="13" defaultRowHeight="12.75"/>
  <cols>
    <col min="1" max="1" width="48.140625" style="49" customWidth="1"/>
    <col min="2" max="2" width="9.85546875" style="57" bestFit="1" customWidth="1"/>
    <col min="3" max="3" width="1.28515625" style="38" customWidth="1"/>
    <col min="4" max="4" width="13.85546875" style="57" bestFit="1" customWidth="1"/>
    <col min="5" max="5" width="1.28515625" style="38" customWidth="1"/>
    <col min="6" max="6" width="13.28515625" style="57" bestFit="1" customWidth="1"/>
    <col min="7" max="7" width="17.7109375" style="57" hidden="1" customWidth="1"/>
    <col min="8" max="8" width="5.28515625" style="38" hidden="1" customWidth="1"/>
    <col min="9" max="9" width="1.28515625" style="38" customWidth="1"/>
    <col min="10" max="10" width="11" style="38" bestFit="1" customWidth="1"/>
    <col min="11" max="11" width="1.28515625" style="38" customWidth="1"/>
    <col min="12" max="12" width="15.85546875" style="57" bestFit="1" customWidth="1"/>
    <col min="13" max="13" width="1.28515625" style="38" customWidth="1"/>
    <col min="14" max="14" width="14.42578125" style="38" bestFit="1" customWidth="1"/>
    <col min="15" max="15" width="1.28515625" style="38" customWidth="1"/>
    <col min="16" max="16" width="14.85546875" style="57" bestFit="1" customWidth="1"/>
    <col min="17" max="17" width="15" style="397" customWidth="1"/>
    <col min="18" max="18" width="13" style="397"/>
    <col min="19" max="19" width="13.85546875" style="397" bestFit="1" customWidth="1"/>
    <col min="20" max="16384" width="13" style="397"/>
  </cols>
  <sheetData>
    <row r="1" spans="1:32" s="895" customFormat="1" ht="18">
      <c r="A1" s="975" t="s">
        <v>0</v>
      </c>
      <c r="B1" s="7"/>
      <c r="C1" s="890"/>
      <c r="D1" s="890"/>
      <c r="E1" s="890"/>
      <c r="F1" s="890"/>
      <c r="G1" s="890"/>
      <c r="H1" s="890"/>
      <c r="I1" s="890"/>
      <c r="J1" s="890"/>
      <c r="K1" s="890"/>
      <c r="L1" s="891"/>
      <c r="M1" s="890"/>
      <c r="N1" s="892"/>
      <c r="O1" s="577"/>
      <c r="P1" s="578"/>
      <c r="Q1" s="893"/>
      <c r="R1" s="894"/>
      <c r="T1" s="896"/>
      <c r="V1" s="897"/>
      <c r="W1" s="577"/>
      <c r="X1" s="577"/>
      <c r="Y1" s="893"/>
      <c r="Z1" s="894"/>
      <c r="AB1" s="896"/>
      <c r="AD1" s="897"/>
      <c r="AE1" s="577"/>
      <c r="AF1" s="577"/>
    </row>
    <row r="2" spans="1:32" s="20" customFormat="1" ht="15">
      <c r="A2" s="976" t="s">
        <v>1</v>
      </c>
      <c r="B2" s="23"/>
      <c r="C2" s="16"/>
      <c r="D2" s="16"/>
      <c r="E2" s="16"/>
      <c r="F2" s="16"/>
      <c r="G2" s="16"/>
      <c r="H2" s="16"/>
      <c r="I2" s="16"/>
      <c r="J2" s="16"/>
      <c r="K2" s="16"/>
      <c r="L2" s="22"/>
      <c r="M2" s="16"/>
      <c r="N2" s="26"/>
      <c r="O2" s="27"/>
      <c r="P2" s="28"/>
      <c r="Q2" s="25"/>
      <c r="R2" s="395"/>
      <c r="T2" s="9"/>
      <c r="V2" s="396"/>
      <c r="W2" s="27"/>
      <c r="X2" s="27"/>
      <c r="Y2" s="25"/>
      <c r="Z2" s="395"/>
      <c r="AB2" s="9"/>
      <c r="AD2" s="396"/>
      <c r="AE2" s="27"/>
      <c r="AF2" s="27"/>
    </row>
    <row r="3" spans="1:32" s="886" customFormat="1" ht="18">
      <c r="A3" s="977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1"/>
      <c r="O3" s="882"/>
      <c r="P3" s="883"/>
      <c r="Q3" s="884"/>
      <c r="R3" s="885"/>
      <c r="T3" s="887"/>
      <c r="V3" s="888"/>
      <c r="W3" s="882"/>
      <c r="X3" s="882"/>
      <c r="Y3" s="884"/>
      <c r="Z3" s="885"/>
      <c r="AB3" s="887"/>
      <c r="AD3" s="888"/>
      <c r="AE3" s="882"/>
      <c r="AF3" s="882"/>
    </row>
    <row r="4" spans="1:32" s="14" customFormat="1" ht="15.75" customHeight="1">
      <c r="A4" s="978" t="s">
        <v>754</v>
      </c>
      <c r="L4" s="15"/>
      <c r="N4" s="29"/>
      <c r="O4" s="30"/>
      <c r="P4" s="30"/>
      <c r="Q4" s="30"/>
      <c r="R4" s="31"/>
      <c r="V4" s="29"/>
      <c r="W4" s="30"/>
      <c r="X4" s="30"/>
      <c r="Y4" s="30"/>
      <c r="Z4" s="31"/>
      <c r="AD4" s="29"/>
      <c r="AE4" s="30"/>
      <c r="AF4" s="30"/>
    </row>
    <row r="5" spans="1:32" s="17" customFormat="1" ht="16.5" customHeight="1">
      <c r="A5" s="978" t="str">
        <f>+'Estado ganancias o pérdidas'!A5</f>
        <v>por los tres meses terminado el 31 de marzo de 2018</v>
      </c>
      <c r="L5" s="13"/>
      <c r="N5" s="32"/>
      <c r="O5" s="33"/>
      <c r="P5" s="33"/>
      <c r="Q5" s="33"/>
      <c r="R5" s="34"/>
      <c r="V5" s="32"/>
      <c r="W5" s="33"/>
      <c r="X5" s="33"/>
      <c r="Y5" s="33"/>
      <c r="Z5" s="34"/>
      <c r="AD5" s="32"/>
      <c r="AE5" s="33"/>
      <c r="AF5" s="33"/>
    </row>
    <row r="6" spans="1:32" s="17" customFormat="1" ht="15">
      <c r="A6" s="979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18"/>
      <c r="N6" s="35"/>
      <c r="O6" s="36"/>
      <c r="P6" s="36"/>
      <c r="Q6" s="33"/>
      <c r="R6" s="34"/>
      <c r="V6" s="32"/>
      <c r="W6" s="33"/>
      <c r="X6" s="33"/>
      <c r="Y6" s="33"/>
      <c r="Z6" s="34"/>
      <c r="AD6" s="32"/>
      <c r="AE6" s="33"/>
      <c r="AF6" s="33"/>
    </row>
    <row r="7" spans="1:32" ht="12.7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O7" s="37"/>
      <c r="P7" s="37"/>
    </row>
    <row r="8" spans="1:32" s="398" customFormat="1" ht="12.75" customHeight="1">
      <c r="A8" s="40"/>
      <c r="B8" s="41"/>
      <c r="C8" s="41"/>
      <c r="D8" s="41" t="s">
        <v>670</v>
      </c>
      <c r="E8" s="41"/>
      <c r="F8" s="41"/>
      <c r="G8" s="41"/>
      <c r="H8" s="41"/>
      <c r="I8" s="41"/>
      <c r="J8" s="41" t="s">
        <v>49</v>
      </c>
      <c r="K8" s="41"/>
      <c r="L8" s="41"/>
      <c r="M8" s="41"/>
      <c r="N8" s="41"/>
      <c r="O8" s="41"/>
      <c r="P8" s="41"/>
    </row>
    <row r="9" spans="1:32" s="398" customFormat="1" ht="12.75" customHeight="1">
      <c r="A9" s="40"/>
      <c r="B9" s="41" t="s">
        <v>46</v>
      </c>
      <c r="C9" s="41"/>
      <c r="D9" s="638" t="s">
        <v>669</v>
      </c>
      <c r="E9" s="41"/>
      <c r="F9" s="41" t="s">
        <v>47</v>
      </c>
      <c r="G9" s="41" t="s">
        <v>48</v>
      </c>
      <c r="H9" s="41"/>
      <c r="I9" s="41"/>
      <c r="J9" s="41" t="s">
        <v>672</v>
      </c>
      <c r="K9" s="41"/>
      <c r="L9" s="41" t="s">
        <v>50</v>
      </c>
      <c r="M9" s="41"/>
      <c r="N9" s="41" t="s">
        <v>761</v>
      </c>
      <c r="O9" s="41"/>
      <c r="P9" s="41" t="s">
        <v>51</v>
      </c>
    </row>
    <row r="10" spans="1:32" s="398" customFormat="1" ht="12.75" customHeight="1">
      <c r="A10" s="40"/>
      <c r="B10" s="42" t="s">
        <v>52</v>
      </c>
      <c r="C10" s="41"/>
      <c r="D10" s="42" t="s">
        <v>55</v>
      </c>
      <c r="E10" s="41"/>
      <c r="F10" s="42" t="s">
        <v>53</v>
      </c>
      <c r="G10" s="42" t="s">
        <v>54</v>
      </c>
      <c r="H10" s="41"/>
      <c r="I10" s="41"/>
      <c r="J10" s="42" t="s">
        <v>671</v>
      </c>
      <c r="K10" s="41"/>
      <c r="L10" s="42" t="s">
        <v>56</v>
      </c>
      <c r="M10" s="41"/>
      <c r="N10" s="42" t="s">
        <v>760</v>
      </c>
      <c r="O10" s="41"/>
      <c r="P10" s="43" t="s">
        <v>57</v>
      </c>
    </row>
    <row r="11" spans="1:32" s="398" customFormat="1" ht="12.75" customHeight="1">
      <c r="A11" s="40"/>
      <c r="B11" s="44"/>
      <c r="C11" s="41"/>
      <c r="D11" s="44"/>
      <c r="E11" s="41"/>
      <c r="F11" s="44"/>
      <c r="G11" s="44"/>
      <c r="H11" s="41"/>
      <c r="I11" s="41"/>
      <c r="J11" s="41"/>
      <c r="K11" s="41"/>
      <c r="L11" s="44"/>
      <c r="M11" s="41"/>
      <c r="N11" s="41"/>
      <c r="O11" s="41"/>
      <c r="P11" s="44"/>
    </row>
    <row r="12" spans="1:32" s="400" customFormat="1" ht="12.75" customHeight="1">
      <c r="A12" s="639" t="s">
        <v>1214</v>
      </c>
      <c r="B12" s="646">
        <v>150000</v>
      </c>
      <c r="C12" s="646"/>
      <c r="D12" s="640">
        <v>3424730</v>
      </c>
      <c r="E12" s="646"/>
      <c r="F12" s="646">
        <v>15884028</v>
      </c>
      <c r="G12" s="646"/>
      <c r="H12" s="646"/>
      <c r="I12" s="646"/>
      <c r="J12" s="640">
        <v>-2963</v>
      </c>
      <c r="K12" s="646"/>
      <c r="L12" s="644">
        <v>-412598</v>
      </c>
      <c r="M12" s="646"/>
      <c r="N12" s="646">
        <v>19575620</v>
      </c>
      <c r="O12" s="646"/>
      <c r="P12" s="644">
        <f>SUM(B12:N12)</f>
        <v>38618817</v>
      </c>
      <c r="Q12" s="399"/>
    </row>
    <row r="13" spans="1:32" s="400" customFormat="1" ht="14.25">
      <c r="A13" s="641"/>
      <c r="B13" s="642"/>
      <c r="C13" s="643"/>
      <c r="D13" s="642"/>
      <c r="E13" s="643"/>
      <c r="F13" s="642"/>
      <c r="G13" s="642"/>
      <c r="H13" s="643"/>
      <c r="I13" s="643"/>
      <c r="J13" s="643"/>
      <c r="K13" s="643"/>
      <c r="L13" s="644"/>
      <c r="M13" s="645"/>
      <c r="N13" s="643"/>
      <c r="O13" s="645"/>
      <c r="P13" s="642"/>
    </row>
    <row r="14" spans="1:32" s="400" customFormat="1" ht="14.25">
      <c r="A14" s="641" t="s">
        <v>458</v>
      </c>
      <c r="B14" s="640">
        <v>0</v>
      </c>
      <c r="C14" s="646"/>
      <c r="D14" s="640">
        <v>0</v>
      </c>
      <c r="E14" s="646"/>
      <c r="F14" s="640">
        <v>0</v>
      </c>
      <c r="G14" s="644">
        <v>0</v>
      </c>
      <c r="H14" s="646"/>
      <c r="I14" s="646"/>
      <c r="J14" s="640">
        <v>0</v>
      </c>
      <c r="K14" s="646"/>
      <c r="L14" s="640">
        <v>0</v>
      </c>
      <c r="M14" s="646"/>
      <c r="N14" s="763">
        <v>-113313</v>
      </c>
      <c r="O14" s="646"/>
      <c r="P14" s="644">
        <f>SUM(B14:N14)</f>
        <v>-113313</v>
      </c>
    </row>
    <row r="15" spans="1:32" s="400" customFormat="1" ht="12.75" hidden="1" customHeight="1">
      <c r="A15" s="641"/>
      <c r="B15" s="640"/>
      <c r="C15" s="646"/>
      <c r="D15" s="640"/>
      <c r="E15" s="646"/>
      <c r="F15" s="640"/>
      <c r="G15" s="644"/>
      <c r="H15" s="646"/>
      <c r="I15" s="646"/>
      <c r="J15" s="640"/>
      <c r="K15" s="646"/>
      <c r="L15" s="640"/>
      <c r="M15" s="646"/>
      <c r="N15" s="763"/>
      <c r="O15" s="646"/>
      <c r="P15" s="644"/>
    </row>
    <row r="16" spans="1:32" s="400" customFormat="1" ht="12.75" hidden="1" customHeight="1">
      <c r="A16" s="641" t="s">
        <v>756</v>
      </c>
      <c r="B16" s="640"/>
      <c r="C16" s="646"/>
      <c r="D16" s="640"/>
      <c r="E16" s="646"/>
      <c r="F16" s="640"/>
      <c r="G16" s="644"/>
      <c r="H16" s="646"/>
      <c r="I16" s="646"/>
      <c r="J16" s="640"/>
      <c r="K16" s="646"/>
      <c r="L16" s="640"/>
      <c r="M16" s="646"/>
      <c r="N16" s="763"/>
      <c r="O16" s="646"/>
      <c r="P16" s="644">
        <f>SUM(B16:N16)</f>
        <v>0</v>
      </c>
    </row>
    <row r="17" spans="1:19" s="400" customFormat="1" ht="12.75" hidden="1" customHeight="1">
      <c r="A17" s="641"/>
      <c r="B17" s="640"/>
      <c r="C17" s="646"/>
      <c r="D17" s="640"/>
      <c r="E17" s="646"/>
      <c r="F17" s="640"/>
      <c r="G17" s="644"/>
      <c r="H17" s="646"/>
      <c r="I17" s="646"/>
      <c r="J17" s="640"/>
      <c r="K17" s="646"/>
      <c r="L17" s="640"/>
      <c r="M17" s="646"/>
      <c r="N17" s="763"/>
      <c r="O17" s="646"/>
      <c r="P17" s="644"/>
    </row>
    <row r="18" spans="1:19" s="400" customFormat="1" ht="12.75" hidden="1" customHeight="1">
      <c r="A18" s="641" t="s">
        <v>757</v>
      </c>
      <c r="B18" s="640"/>
      <c r="C18" s="646"/>
      <c r="D18" s="640"/>
      <c r="E18" s="646"/>
      <c r="F18" s="640"/>
      <c r="G18" s="644"/>
      <c r="H18" s="646"/>
      <c r="I18" s="646"/>
      <c r="J18" s="640"/>
      <c r="K18" s="646"/>
      <c r="L18" s="640"/>
      <c r="M18" s="646"/>
      <c r="N18" s="640"/>
      <c r="O18" s="646"/>
      <c r="P18" s="644">
        <f>SUM(B18:N18)</f>
        <v>0</v>
      </c>
    </row>
    <row r="19" spans="1:19" s="400" customFormat="1" ht="12.75" hidden="1" customHeight="1">
      <c r="A19" s="641"/>
      <c r="B19" s="640"/>
      <c r="C19" s="646"/>
      <c r="D19" s="640"/>
      <c r="E19" s="646"/>
      <c r="F19" s="640"/>
      <c r="G19" s="644"/>
      <c r="H19" s="646"/>
      <c r="I19" s="646"/>
      <c r="J19" s="640"/>
      <c r="K19" s="646"/>
      <c r="L19" s="640"/>
      <c r="M19" s="646"/>
      <c r="N19" s="763"/>
      <c r="O19" s="646"/>
      <c r="P19" s="644"/>
    </row>
    <row r="20" spans="1:19" s="400" customFormat="1" ht="18" hidden="1" customHeight="1">
      <c r="A20" s="733" t="s">
        <v>24</v>
      </c>
      <c r="B20" s="764"/>
      <c r="C20" s="646"/>
      <c r="D20" s="764"/>
      <c r="E20" s="646"/>
      <c r="F20" s="764"/>
      <c r="G20" s="765"/>
      <c r="H20" s="646"/>
      <c r="I20" s="646"/>
      <c r="J20" s="764"/>
      <c r="K20" s="646"/>
      <c r="L20" s="764"/>
      <c r="M20" s="646"/>
      <c r="N20" s="764"/>
      <c r="O20" s="646"/>
      <c r="P20" s="764">
        <f>SUM(B20:N20)</f>
        <v>0</v>
      </c>
    </row>
    <row r="21" spans="1:19" s="400" customFormat="1" ht="3" customHeight="1">
      <c r="A21" s="641"/>
      <c r="B21" s="640"/>
      <c r="C21" s="646"/>
      <c r="D21" s="640"/>
      <c r="E21" s="646"/>
      <c r="F21" s="640"/>
      <c r="G21" s="644"/>
      <c r="H21" s="646"/>
      <c r="I21" s="646"/>
      <c r="J21" s="640"/>
      <c r="K21" s="646"/>
      <c r="L21" s="640"/>
      <c r="M21" s="646"/>
      <c r="N21" s="763"/>
      <c r="O21" s="646"/>
      <c r="P21" s="644"/>
    </row>
    <row r="22" spans="1:19" s="400" customFormat="1" ht="15" customHeight="1" thickBot="1">
      <c r="A22" s="639" t="s">
        <v>1215</v>
      </c>
      <c r="B22" s="901">
        <f>SUM(B12:B20)</f>
        <v>150000</v>
      </c>
      <c r="C22" s="646"/>
      <c r="D22" s="901">
        <f>SUM(D12:D20)</f>
        <v>3424730</v>
      </c>
      <c r="E22" s="646"/>
      <c r="F22" s="901">
        <f>SUM(F12:F20)</f>
        <v>15884028</v>
      </c>
      <c r="G22" s="646"/>
      <c r="H22" s="646"/>
      <c r="I22" s="646"/>
      <c r="J22" s="901">
        <f>SUM(J12:J20)</f>
        <v>-2963</v>
      </c>
      <c r="K22" s="646"/>
      <c r="L22" s="901">
        <f>SUM(L12:L20)</f>
        <v>-412598</v>
      </c>
      <c r="M22" s="646"/>
      <c r="N22" s="901">
        <f>SUM(N12:N20)</f>
        <v>19462307</v>
      </c>
      <c r="O22" s="646"/>
      <c r="P22" s="901">
        <f>SUM(P12:P20)</f>
        <v>38505504</v>
      </c>
    </row>
    <row r="23" spans="1:19" s="400" customFormat="1" ht="15">
      <c r="A23" s="639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</row>
    <row r="24" spans="1:19" s="400" customFormat="1" ht="15.75" customHeight="1">
      <c r="A24" s="639" t="s">
        <v>1216</v>
      </c>
      <c r="B24" s="646">
        <v>150000</v>
      </c>
      <c r="C24" s="646">
        <v>0</v>
      </c>
      <c r="D24" s="646">
        <v>3424730</v>
      </c>
      <c r="E24" s="646"/>
      <c r="F24" s="646">
        <v>15884028</v>
      </c>
      <c r="G24" s="646" t="e">
        <v>#REF!</v>
      </c>
      <c r="H24" s="646">
        <v>0</v>
      </c>
      <c r="I24" s="646"/>
      <c r="J24" s="646">
        <v>-2963</v>
      </c>
      <c r="K24" s="646"/>
      <c r="L24" s="646">
        <v>-414602</v>
      </c>
      <c r="M24" s="646">
        <v>0</v>
      </c>
      <c r="N24" s="646">
        <v>19669385</v>
      </c>
      <c r="O24" s="646"/>
      <c r="P24" s="644">
        <v>38710578</v>
      </c>
    </row>
    <row r="25" spans="1:19" s="400" customFormat="1" ht="14.25">
      <c r="A25" s="641"/>
      <c r="B25" s="640"/>
      <c r="C25" s="647"/>
      <c r="D25" s="640"/>
      <c r="E25" s="647"/>
      <c r="F25" s="640"/>
      <c r="G25" s="647"/>
      <c r="H25" s="648"/>
      <c r="I25" s="648"/>
      <c r="J25" s="640"/>
      <c r="K25" s="648"/>
      <c r="L25" s="647"/>
      <c r="M25" s="649"/>
      <c r="N25" s="640"/>
      <c r="O25" s="649"/>
      <c r="P25" s="647"/>
    </row>
    <row r="26" spans="1:19" ht="12.75" customHeight="1">
      <c r="A26" s="641" t="s">
        <v>1204</v>
      </c>
      <c r="B26" s="640">
        <v>0</v>
      </c>
      <c r="C26" s="644"/>
      <c r="D26" s="640">
        <v>0</v>
      </c>
      <c r="E26" s="644"/>
      <c r="F26" s="640">
        <v>0</v>
      </c>
      <c r="G26" s="644">
        <v>0</v>
      </c>
      <c r="H26" s="646"/>
      <c r="I26" s="646"/>
      <c r="J26" s="640">
        <v>0</v>
      </c>
      <c r="K26" s="646"/>
      <c r="L26" s="640">
        <v>0</v>
      </c>
      <c r="M26" s="646"/>
      <c r="N26" s="640">
        <f>+'Estado ganancias o pérdidas'!J58</f>
        <v>140262</v>
      </c>
      <c r="O26" s="646"/>
      <c r="P26" s="640">
        <f>SUM(B26:N26)</f>
        <v>140262</v>
      </c>
      <c r="S26" s="731"/>
    </row>
    <row r="27" spans="1:19" ht="12.75" customHeight="1">
      <c r="A27" s="650"/>
      <c r="B27" s="644"/>
      <c r="C27" s="644"/>
      <c r="D27" s="644"/>
      <c r="E27" s="644"/>
      <c r="F27" s="644"/>
      <c r="G27" s="644"/>
      <c r="H27" s="646"/>
      <c r="I27" s="646"/>
      <c r="J27" s="646"/>
      <c r="K27" s="646"/>
      <c r="L27" s="644"/>
      <c r="M27" s="646"/>
      <c r="N27" s="644"/>
      <c r="O27" s="646"/>
      <c r="P27" s="644"/>
    </row>
    <row r="28" spans="1:19" ht="12.75" customHeight="1">
      <c r="A28" s="650" t="s">
        <v>58</v>
      </c>
      <c r="B28" s="646"/>
      <c r="C28" s="970"/>
      <c r="D28" s="646"/>
      <c r="E28" s="970"/>
      <c r="F28" s="646"/>
      <c r="G28" s="646"/>
      <c r="H28" s="970"/>
      <c r="I28" s="970"/>
      <c r="J28" s="970"/>
      <c r="K28" s="970"/>
      <c r="L28" s="644"/>
      <c r="M28" s="970"/>
      <c r="N28" s="646"/>
      <c r="O28" s="970"/>
      <c r="P28" s="640"/>
    </row>
    <row r="29" spans="1:19" ht="12.75" customHeight="1">
      <c r="A29" s="650"/>
      <c r="B29" s="646"/>
      <c r="C29" s="970"/>
      <c r="D29" s="646"/>
      <c r="E29" s="970"/>
      <c r="F29" s="646"/>
      <c r="G29" s="646"/>
      <c r="H29" s="970"/>
      <c r="I29" s="970"/>
      <c r="J29" s="970"/>
      <c r="K29" s="970"/>
      <c r="L29" s="644"/>
      <c r="M29" s="970"/>
      <c r="N29" s="646"/>
      <c r="O29" s="970"/>
      <c r="P29" s="640"/>
    </row>
    <row r="30" spans="1:19" ht="12.75" customHeight="1">
      <c r="A30" s="650" t="s">
        <v>1228</v>
      </c>
      <c r="B30" s="640">
        <v>0</v>
      </c>
      <c r="C30" s="970"/>
      <c r="D30" s="640">
        <v>0</v>
      </c>
      <c r="E30" s="970"/>
      <c r="F30" s="640">
        <v>-15884028</v>
      </c>
      <c r="G30" s="646"/>
      <c r="H30" s="970"/>
      <c r="I30" s="970"/>
      <c r="J30" s="971">
        <v>0</v>
      </c>
      <c r="K30" s="970"/>
      <c r="L30" s="640">
        <v>0</v>
      </c>
      <c r="M30" s="970"/>
      <c r="N30" s="640">
        <v>15884028</v>
      </c>
      <c r="O30" s="970"/>
      <c r="P30" s="640">
        <f>SUM(B30:N30)</f>
        <v>0</v>
      </c>
    </row>
    <row r="31" spans="1:19" ht="12.75" customHeight="1">
      <c r="A31" s="650"/>
      <c r="B31" s="640"/>
      <c r="C31" s="970"/>
      <c r="D31" s="640"/>
      <c r="E31" s="970"/>
      <c r="F31" s="640"/>
      <c r="G31" s="646"/>
      <c r="H31" s="970"/>
      <c r="I31" s="970"/>
      <c r="J31" s="971"/>
      <c r="K31" s="970"/>
      <c r="L31" s="640"/>
      <c r="M31" s="970"/>
      <c r="N31" s="640"/>
      <c r="O31" s="970"/>
      <c r="P31" s="640"/>
    </row>
    <row r="32" spans="1:19" ht="12.75" customHeight="1">
      <c r="A32" s="650" t="s">
        <v>1230</v>
      </c>
      <c r="B32" s="764">
        <v>0</v>
      </c>
      <c r="C32" s="970"/>
      <c r="D32" s="764">
        <v>-1335272</v>
      </c>
      <c r="E32" s="970"/>
      <c r="F32" s="764">
        <v>0</v>
      </c>
      <c r="G32" s="646"/>
      <c r="H32" s="970"/>
      <c r="I32" s="970"/>
      <c r="J32" s="972">
        <v>0</v>
      </c>
      <c r="K32" s="970"/>
      <c r="L32" s="764">
        <v>48481</v>
      </c>
      <c r="M32" s="970"/>
      <c r="N32" s="764">
        <f>-ROUND(9065233.05,0)</f>
        <v>-9065233</v>
      </c>
      <c r="O32" s="970"/>
      <c r="P32" s="764">
        <f>SUM(B32:N32)</f>
        <v>-10352024</v>
      </c>
    </row>
    <row r="33" spans="1:17" ht="12.75" hidden="1" customHeight="1">
      <c r="A33" s="650"/>
      <c r="B33" s="902"/>
      <c r="C33" s="905"/>
      <c r="D33" s="902"/>
      <c r="E33" s="905"/>
      <c r="F33" s="902"/>
      <c r="G33" s="904"/>
      <c r="H33" s="905"/>
      <c r="I33" s="905"/>
      <c r="J33" s="906"/>
      <c r="K33" s="905"/>
      <c r="L33" s="902"/>
      <c r="M33" s="905"/>
      <c r="N33" s="902"/>
      <c r="O33" s="905"/>
      <c r="P33" s="902"/>
    </row>
    <row r="34" spans="1:17" ht="19.5" hidden="1" customHeight="1">
      <c r="A34" s="650" t="s">
        <v>24</v>
      </c>
      <c r="B34" s="907">
        <v>0</v>
      </c>
      <c r="C34" s="903"/>
      <c r="D34" s="907">
        <v>0</v>
      </c>
      <c r="E34" s="903"/>
      <c r="F34" s="907">
        <v>0</v>
      </c>
      <c r="G34" s="908">
        <v>0</v>
      </c>
      <c r="H34" s="904"/>
      <c r="I34" s="904"/>
      <c r="J34" s="907">
        <v>0</v>
      </c>
      <c r="K34" s="904"/>
      <c r="L34" s="907"/>
      <c r="M34" s="904"/>
      <c r="N34" s="907">
        <v>0</v>
      </c>
      <c r="O34" s="904"/>
      <c r="P34" s="907">
        <f>SUM(B34:N34)</f>
        <v>0</v>
      </c>
    </row>
    <row r="35" spans="1:17" ht="5.25" customHeight="1">
      <c r="A35" s="650"/>
      <c r="B35" s="640"/>
      <c r="C35" s="644"/>
      <c r="D35" s="640"/>
      <c r="E35" s="644"/>
      <c r="F35" s="973"/>
      <c r="G35" s="644"/>
      <c r="H35" s="646"/>
      <c r="I35" s="646"/>
      <c r="J35" s="640"/>
      <c r="K35" s="646"/>
      <c r="L35" s="640"/>
      <c r="M35" s="646"/>
      <c r="N35" s="640"/>
      <c r="O35" s="646"/>
      <c r="P35" s="640"/>
    </row>
    <row r="36" spans="1:17" ht="15" customHeight="1" thickBot="1">
      <c r="A36" s="639" t="s">
        <v>1217</v>
      </c>
      <c r="B36" s="798">
        <f>+B24+SUM(B26:B34)</f>
        <v>150000</v>
      </c>
      <c r="C36" s="646">
        <v>0</v>
      </c>
      <c r="D36" s="798">
        <f>+D24+SUM(D26:D34)</f>
        <v>2089458</v>
      </c>
      <c r="E36" s="646"/>
      <c r="F36" s="974">
        <f>+F24+SUM(F26:F34)</f>
        <v>0</v>
      </c>
      <c r="G36" s="798" t="e">
        <f>+#REF!+#REF!+G34</f>
        <v>#REF!</v>
      </c>
      <c r="H36" s="646">
        <v>0</v>
      </c>
      <c r="I36" s="646"/>
      <c r="J36" s="798">
        <f>+J24+SUM(J26:J34)</f>
        <v>-2963</v>
      </c>
      <c r="K36" s="646"/>
      <c r="L36" s="798">
        <f>+L24+SUM(L26:L34)</f>
        <v>-366121</v>
      </c>
      <c r="M36" s="646">
        <v>0</v>
      </c>
      <c r="N36" s="798">
        <f>+N24+SUM(N26:N34)</f>
        <v>26628442</v>
      </c>
      <c r="O36" s="646"/>
      <c r="P36" s="798">
        <f>+P24+SUM(P26:P34)</f>
        <v>28498816</v>
      </c>
      <c r="Q36" s="401"/>
    </row>
    <row r="37" spans="1:17" ht="12.75" customHeight="1">
      <c r="A37" s="50"/>
      <c r="B37" s="51"/>
      <c r="C37" s="46"/>
      <c r="D37" s="45"/>
      <c r="E37" s="46"/>
      <c r="F37" s="45"/>
      <c r="G37" s="45"/>
      <c r="H37" s="46"/>
      <c r="I37" s="46"/>
      <c r="J37" s="46"/>
      <c r="K37" s="46"/>
      <c r="L37" s="45"/>
      <c r="M37" s="46"/>
      <c r="N37" s="46"/>
      <c r="O37" s="46"/>
      <c r="P37" s="47"/>
    </row>
    <row r="38" spans="1:17" ht="12.75" customHeight="1">
      <c r="A38" s="50"/>
      <c r="B38" s="52"/>
      <c r="C38" s="53"/>
      <c r="D38" s="54"/>
      <c r="E38" s="53"/>
      <c r="F38" s="54"/>
      <c r="G38" s="54"/>
      <c r="H38" s="53"/>
      <c r="I38" s="53"/>
      <c r="J38" s="53"/>
      <c r="K38" s="53"/>
      <c r="L38" s="54"/>
      <c r="M38" s="53"/>
      <c r="N38" s="53"/>
      <c r="P38" s="24"/>
    </row>
    <row r="39" spans="1:17" ht="15">
      <c r="A39" s="980" t="str">
        <f>+'Estado de situación financiera'!A46</f>
        <v>Las notas en las páginas 6 a la 42 son parte integral de estos estados financieros consolidados intermedios.</v>
      </c>
      <c r="B39" s="52"/>
      <c r="C39" s="53"/>
      <c r="D39" s="54"/>
      <c r="E39" s="53"/>
      <c r="F39" s="54"/>
      <c r="G39" s="54"/>
      <c r="H39" s="53"/>
      <c r="I39" s="53"/>
      <c r="J39" s="53"/>
      <c r="K39" s="53"/>
      <c r="L39" s="54"/>
      <c r="M39" s="53"/>
      <c r="N39" s="53"/>
      <c r="P39" s="55"/>
    </row>
    <row r="40" spans="1:17">
      <c r="A40" s="50"/>
      <c r="B40" s="52"/>
      <c r="C40" s="53"/>
      <c r="D40" s="54"/>
      <c r="E40" s="53"/>
      <c r="F40" s="54"/>
      <c r="G40" s="54"/>
      <c r="H40" s="53"/>
      <c r="I40" s="53"/>
      <c r="J40" s="53"/>
      <c r="K40" s="53"/>
      <c r="L40" s="54"/>
      <c r="M40" s="53"/>
      <c r="N40" s="53"/>
      <c r="P40" s="55"/>
    </row>
    <row r="41" spans="1:17" ht="15.75">
      <c r="A41" s="7"/>
      <c r="B41" s="23"/>
      <c r="C41" s="16"/>
      <c r="D41" s="16"/>
      <c r="E41" s="16"/>
      <c r="F41" s="16"/>
      <c r="G41" s="16"/>
      <c r="H41" s="16"/>
      <c r="I41" s="16"/>
      <c r="J41" s="16"/>
      <c r="K41" s="16"/>
      <c r="L41" s="22"/>
      <c r="M41" s="16"/>
      <c r="N41" s="26"/>
      <c r="O41" s="27"/>
      <c r="P41" s="28"/>
    </row>
    <row r="42" spans="1:17">
      <c r="A42" s="56"/>
      <c r="B42" s="23"/>
      <c r="C42" s="16"/>
      <c r="D42" s="16"/>
      <c r="E42" s="16"/>
      <c r="F42" s="16"/>
      <c r="G42" s="16"/>
      <c r="H42" s="16"/>
      <c r="I42" s="16"/>
      <c r="J42" s="16"/>
      <c r="K42" s="16"/>
      <c r="L42" s="22"/>
      <c r="M42" s="16"/>
      <c r="N42" s="26"/>
      <c r="O42" s="27"/>
      <c r="P42" s="28"/>
    </row>
    <row r="43" spans="1:17">
      <c r="A43" s="50"/>
      <c r="B43" s="52"/>
      <c r="C43" s="53"/>
      <c r="D43" s="54"/>
      <c r="E43" s="53"/>
      <c r="F43" s="54"/>
      <c r="G43" s="54"/>
      <c r="H43" s="53"/>
      <c r="I43" s="53"/>
      <c r="J43" s="53"/>
      <c r="K43" s="53"/>
      <c r="L43" s="54"/>
      <c r="M43" s="53"/>
      <c r="N43" s="53"/>
      <c r="P43" s="55"/>
    </row>
    <row r="44" spans="1:17">
      <c r="A44" s="50"/>
      <c r="B44" s="421">
        <f>+'Estado de situación financiera'!I36-Patrimonio!B36</f>
        <v>0</v>
      </c>
      <c r="C44" s="421">
        <f t="shared" ref="C44:H44" si="0">+ROUND(C36,0)</f>
        <v>0</v>
      </c>
      <c r="D44" s="421">
        <f>+D36-'Estado de situación financiera'!I37</f>
        <v>0</v>
      </c>
      <c r="E44" s="421"/>
      <c r="F44" s="421">
        <f>+F36-'Estado de situación financiera'!I38</f>
        <v>0</v>
      </c>
      <c r="G44" s="421" t="e">
        <f t="shared" si="0"/>
        <v>#REF!</v>
      </c>
      <c r="H44" s="421">
        <f t="shared" si="0"/>
        <v>0</v>
      </c>
      <c r="I44" s="421"/>
      <c r="J44" s="421">
        <f>+J36-'Estado de situación financiera'!I39</f>
        <v>0</v>
      </c>
      <c r="K44" s="421">
        <f>+ROUND(K36,0)</f>
        <v>0</v>
      </c>
      <c r="L44" s="421">
        <f>+L36-'Estado de situación financiera'!I40</f>
        <v>0</v>
      </c>
      <c r="M44" s="421">
        <f>+ROUND(M36,0)</f>
        <v>0</v>
      </c>
      <c r="N44" s="421">
        <f>+N36-'Estado de situación financiera'!I41</f>
        <v>0</v>
      </c>
      <c r="O44" s="421">
        <f>+ROUND(O36,0)</f>
        <v>0</v>
      </c>
      <c r="P44" s="421">
        <f>+P36-'Estado de situación financiera'!I42</f>
        <v>0</v>
      </c>
    </row>
    <row r="45" spans="1:17">
      <c r="A45" s="50"/>
      <c r="B45" s="422"/>
      <c r="C45" s="423"/>
      <c r="D45" s="424"/>
      <c r="E45" s="423"/>
      <c r="F45" s="424"/>
      <c r="G45" s="424"/>
      <c r="H45" s="423"/>
      <c r="I45" s="423"/>
      <c r="J45" s="423"/>
      <c r="K45" s="423"/>
      <c r="L45" s="424"/>
      <c r="M45" s="423"/>
      <c r="N45" s="425"/>
      <c r="O45" s="423"/>
      <c r="P45" s="426"/>
    </row>
    <row r="46" spans="1:17">
      <c r="A46" s="50"/>
      <c r="B46" s="422"/>
      <c r="C46" s="423"/>
      <c r="D46" s="424"/>
      <c r="E46" s="423"/>
      <c r="F46" s="424"/>
      <c r="G46" s="424"/>
      <c r="H46" s="423"/>
      <c r="I46" s="423"/>
      <c r="J46" s="423"/>
      <c r="K46" s="423"/>
      <c r="L46" s="424"/>
      <c r="M46" s="423"/>
      <c r="N46" s="423"/>
      <c r="O46" s="423"/>
      <c r="P46" s="426"/>
    </row>
    <row r="47" spans="1:17">
      <c r="A47" s="50"/>
      <c r="B47" s="422"/>
      <c r="C47" s="423"/>
      <c r="D47" s="424"/>
      <c r="E47" s="423"/>
      <c r="F47" s="424"/>
      <c r="G47" s="424"/>
      <c r="H47" s="423"/>
      <c r="I47" s="423"/>
      <c r="J47" s="423"/>
      <c r="K47" s="423"/>
      <c r="L47" s="424"/>
      <c r="M47" s="423"/>
      <c r="N47" s="423"/>
      <c r="O47" s="423"/>
      <c r="P47" s="426"/>
    </row>
    <row r="48" spans="1:17">
      <c r="B48" s="427"/>
      <c r="C48" s="428"/>
      <c r="D48" s="427"/>
      <c r="E48" s="428"/>
      <c r="F48" s="427"/>
      <c r="G48" s="427"/>
      <c r="H48" s="428"/>
      <c r="I48" s="428"/>
      <c r="J48" s="428"/>
      <c r="K48" s="428"/>
      <c r="L48" s="427"/>
      <c r="M48" s="428"/>
      <c r="N48" s="428"/>
      <c r="O48" s="428"/>
      <c r="P48" s="429"/>
    </row>
    <row r="49" spans="1:16">
      <c r="B49" s="54"/>
      <c r="C49" s="53"/>
      <c r="D49" s="54"/>
      <c r="E49" s="53"/>
      <c r="F49" s="54"/>
      <c r="G49" s="54"/>
      <c r="H49" s="53"/>
      <c r="I49" s="53"/>
      <c r="J49" s="53"/>
      <c r="K49" s="53"/>
      <c r="L49" s="54"/>
      <c r="M49" s="53"/>
      <c r="N49" s="53"/>
      <c r="P49" s="55"/>
    </row>
    <row r="50" spans="1:16">
      <c r="P50" s="55"/>
    </row>
    <row r="51" spans="1:16">
      <c r="P51" s="55"/>
    </row>
    <row r="52" spans="1:16">
      <c r="P52" s="55"/>
    </row>
    <row r="53" spans="1:16">
      <c r="A53" s="39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>
      <c r="A54" s="39"/>
      <c r="B54" s="39"/>
      <c r="C54" s="39"/>
      <c r="D54" s="39"/>
      <c r="E54" s="39"/>
      <c r="F54" s="39"/>
      <c r="G54" s="39"/>
      <c r="P54" s="55"/>
    </row>
    <row r="55" spans="1:16">
      <c r="P55" s="55"/>
    </row>
    <row r="56" spans="1:16">
      <c r="A56" s="769"/>
      <c r="B56" s="769"/>
      <c r="C56" s="769"/>
      <c r="D56" s="769"/>
      <c r="E56" s="769"/>
      <c r="F56" s="769"/>
      <c r="G56" s="769"/>
      <c r="H56" s="769"/>
      <c r="I56" s="769"/>
      <c r="J56" s="769"/>
      <c r="K56" s="769"/>
      <c r="L56" s="769"/>
      <c r="M56" s="769"/>
      <c r="N56" s="769"/>
      <c r="O56" s="769"/>
      <c r="P56" s="769"/>
    </row>
    <row r="57" spans="1:16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16">
      <c r="A58" s="770"/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</row>
    <row r="59" spans="1:16">
      <c r="A59" s="771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</row>
    <row r="60" spans="1:16">
      <c r="A60" s="61"/>
      <c r="B60" s="62"/>
      <c r="C60" s="63"/>
      <c r="D60" s="62"/>
      <c r="E60" s="63"/>
      <c r="F60" s="62"/>
      <c r="G60" s="62"/>
      <c r="H60" s="63"/>
      <c r="I60" s="63"/>
      <c r="J60" s="63"/>
      <c r="K60" s="63"/>
      <c r="L60" s="62"/>
      <c r="M60" s="63"/>
      <c r="N60" s="63"/>
      <c r="O60" s="63"/>
      <c r="P60" s="62"/>
    </row>
    <row r="61" spans="1:16">
      <c r="A61" s="61"/>
      <c r="B61" s="62"/>
      <c r="C61" s="63"/>
      <c r="D61" s="62"/>
      <c r="E61" s="63"/>
      <c r="F61" s="62"/>
      <c r="G61" s="62"/>
      <c r="H61" s="63"/>
      <c r="I61" s="63"/>
      <c r="J61" s="63"/>
      <c r="K61" s="63"/>
      <c r="L61" s="62"/>
      <c r="M61" s="63"/>
      <c r="N61" s="63"/>
      <c r="O61" s="63"/>
      <c r="P61" s="62"/>
    </row>
  </sheetData>
  <sheetProtection formatCells="0" formatColumns="0" formatRows="0"/>
  <printOptions horizontalCentered="1"/>
  <pageMargins left="0.51181102362204722" right="0.39370078740157483" top="0.47244094488188981" bottom="1.1811023622047245" header="0" footer="0.59055118110236227"/>
  <pageSetup scale="64" orientation="portrait" r:id="rId1"/>
  <headerFooter scaleWithDoc="0">
    <oddFooter>&amp;C&amp;"Arial,Normal"&amp;10- 4 -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R77"/>
  <sheetViews>
    <sheetView showGridLines="0" tabSelected="1" view="pageBreakPreview" topLeftCell="A39" zoomScaleNormal="80" zoomScaleSheetLayoutView="100" workbookViewId="0">
      <selection activeCell="I26" sqref="I26"/>
    </sheetView>
  </sheetViews>
  <sheetFormatPr baseColWidth="10" defaultColWidth="9.140625" defaultRowHeight="12.75"/>
  <cols>
    <col min="1" max="1" width="9.140625" style="66" customWidth="1"/>
    <col min="2" max="2" width="50.28515625" style="66" customWidth="1"/>
    <col min="3" max="3" width="6" style="314" bestFit="1" customWidth="1"/>
    <col min="4" max="4" width="15.5703125" style="319" customWidth="1"/>
    <col min="5" max="5" width="1.7109375" style="66" customWidth="1"/>
    <col min="6" max="6" width="15.5703125" style="498" customWidth="1"/>
    <col min="7" max="7" width="15.5703125" style="66" customWidth="1"/>
    <col min="8" max="8" width="16.7109375" style="4" customWidth="1"/>
    <col min="9" max="9" width="7.140625" style="66" customWidth="1"/>
    <col min="10" max="10" width="16.7109375" style="4" customWidth="1"/>
    <col min="11" max="16384" width="9.140625" style="66"/>
  </cols>
  <sheetData>
    <row r="1" spans="1:10" ht="16.5">
      <c r="A1" s="628" t="s">
        <v>0</v>
      </c>
      <c r="B1" s="64"/>
      <c r="C1" s="513"/>
      <c r="D1" s="65"/>
      <c r="F1" s="66"/>
    </row>
    <row r="2" spans="1:10">
      <c r="A2" s="5" t="s">
        <v>1</v>
      </c>
      <c r="B2" s="64"/>
      <c r="C2" s="513"/>
      <c r="D2" s="65"/>
      <c r="F2" s="66"/>
    </row>
    <row r="3" spans="1:10">
      <c r="A3" s="64"/>
      <c r="B3" s="64"/>
      <c r="C3" s="513"/>
      <c r="D3" s="65"/>
      <c r="F3" s="66"/>
    </row>
    <row r="4" spans="1:10" s="10" customFormat="1" ht="15">
      <c r="A4" s="629" t="s">
        <v>755</v>
      </c>
      <c r="B4" s="64"/>
      <c r="C4" s="8"/>
      <c r="D4" s="53"/>
      <c r="E4" s="8"/>
      <c r="F4" s="8"/>
      <c r="H4" s="11"/>
      <c r="J4" s="11"/>
    </row>
    <row r="5" spans="1:10" s="10" customFormat="1" ht="15">
      <c r="A5" s="630" t="str">
        <f>+'Estado ganancias o pérdidas'!A5</f>
        <v>por los tres meses terminado el 31 de marzo de 2018</v>
      </c>
      <c r="B5" s="64"/>
      <c r="C5" s="8"/>
      <c r="D5" s="53"/>
      <c r="E5" s="8"/>
      <c r="F5" s="8"/>
      <c r="H5" s="11"/>
      <c r="J5" s="11"/>
    </row>
    <row r="6" spans="1:10" s="10" customFormat="1" ht="14.25">
      <c r="A6" s="631" t="s">
        <v>2</v>
      </c>
      <c r="B6" s="68"/>
      <c r="C6" s="68"/>
      <c r="D6" s="963"/>
      <c r="E6" s="68"/>
      <c r="F6" s="68"/>
      <c r="H6" s="11"/>
      <c r="J6" s="11"/>
    </row>
    <row r="7" spans="1:10" s="10" customFormat="1">
      <c r="A7" s="1"/>
      <c r="B7" s="9"/>
      <c r="C7" s="9"/>
      <c r="D7" s="964"/>
      <c r="E7" s="9"/>
      <c r="F7" s="9"/>
      <c r="H7" s="11"/>
      <c r="J7" s="11"/>
    </row>
    <row r="8" spans="1:10" s="20" customFormat="1" ht="14.25" customHeight="1">
      <c r="A8" s="1"/>
      <c r="B8" s="69"/>
      <c r="C8" s="636"/>
      <c r="D8" s="70" t="s">
        <v>504</v>
      </c>
      <c r="E8" s="70"/>
      <c r="F8" s="70" t="s">
        <v>504</v>
      </c>
      <c r="H8" s="1016" t="s">
        <v>516</v>
      </c>
      <c r="I8" s="1016"/>
      <c r="J8" s="1016"/>
    </row>
    <row r="9" spans="1:10" s="20" customFormat="1">
      <c r="A9" s="71"/>
      <c r="B9" s="69"/>
      <c r="C9" s="27"/>
      <c r="D9" s="70">
        <v>2018</v>
      </c>
      <c r="E9" s="70"/>
      <c r="F9" s="70">
        <v>2017</v>
      </c>
      <c r="H9" s="70">
        <v>2017</v>
      </c>
      <c r="J9" s="70">
        <v>2016</v>
      </c>
    </row>
    <row r="10" spans="1:10" s="20" customFormat="1">
      <c r="A10" s="1"/>
      <c r="B10" s="69"/>
      <c r="C10" s="70" t="s">
        <v>3</v>
      </c>
      <c r="D10" s="633" t="s">
        <v>506</v>
      </c>
      <c r="E10" s="70"/>
      <c r="F10" s="70" t="s">
        <v>506</v>
      </c>
      <c r="H10" s="12"/>
      <c r="J10" s="12"/>
    </row>
    <row r="11" spans="1:10" s="20" customFormat="1">
      <c r="A11" s="1"/>
      <c r="B11" s="69"/>
      <c r="C11" s="70"/>
      <c r="D11" s="73"/>
      <c r="E11" s="74"/>
      <c r="F11" s="74"/>
      <c r="H11" s="12"/>
      <c r="J11" s="12"/>
    </row>
    <row r="12" spans="1:10" ht="13.5" customHeight="1">
      <c r="A12" s="64" t="s">
        <v>519</v>
      </c>
      <c r="C12" s="624"/>
      <c r="D12" s="73"/>
      <c r="E12" s="71"/>
      <c r="F12" s="637"/>
    </row>
    <row r="13" spans="1:10" ht="14.25" customHeight="1">
      <c r="A13" s="21" t="s">
        <v>853</v>
      </c>
      <c r="B13" s="71"/>
      <c r="C13" s="709"/>
      <c r="D13" s="996">
        <f>ROUND(+'HT flujo efectivo'!J35,0)</f>
        <v>140262</v>
      </c>
      <c r="E13" s="717"/>
      <c r="F13" s="718">
        <f>+'Estado ganancias o pérdidas'!L58</f>
        <v>-113313</v>
      </c>
      <c r="H13" s="4">
        <f t="shared" ref="H13:H51" si="0">ROUND(D13,0)</f>
        <v>140262</v>
      </c>
      <c r="J13" s="4">
        <f>ROUND(F13,0)</f>
        <v>-113313</v>
      </c>
    </row>
    <row r="14" spans="1:10" ht="14.25" customHeight="1">
      <c r="A14" s="71" t="s">
        <v>1205</v>
      </c>
      <c r="B14" s="71"/>
      <c r="C14" s="709"/>
      <c r="D14" s="73"/>
      <c r="E14" s="717"/>
      <c r="F14" s="719"/>
      <c r="H14" s="4">
        <f t="shared" si="0"/>
        <v>0</v>
      </c>
      <c r="J14" s="4">
        <f t="shared" ref="J14:J39" si="1">ROUND(F14,0)</f>
        <v>0</v>
      </c>
    </row>
    <row r="15" spans="1:10" ht="14.25" customHeight="1">
      <c r="A15" s="71" t="s">
        <v>1457</v>
      </c>
      <c r="B15" s="71"/>
      <c r="C15" s="709"/>
      <c r="D15" s="73"/>
      <c r="E15" s="717"/>
      <c r="F15" s="719"/>
      <c r="H15" s="4">
        <f t="shared" si="0"/>
        <v>0</v>
      </c>
      <c r="J15" s="4">
        <f t="shared" si="1"/>
        <v>0</v>
      </c>
    </row>
    <row r="16" spans="1:10" ht="14.25" customHeight="1">
      <c r="A16" s="66" t="s">
        <v>776</v>
      </c>
      <c r="C16" s="709">
        <v>11</v>
      </c>
      <c r="D16" s="996">
        <f>ROUND(+'HT flujo efectivo'!H46,0)</f>
        <v>8027</v>
      </c>
      <c r="E16" s="717"/>
      <c r="F16" s="73">
        <v>6948</v>
      </c>
      <c r="H16" s="4">
        <f t="shared" si="0"/>
        <v>8027</v>
      </c>
      <c r="J16" s="4">
        <f t="shared" si="1"/>
        <v>6948</v>
      </c>
    </row>
    <row r="17" spans="1:10" ht="14.25" customHeight="1">
      <c r="A17" s="66" t="s">
        <v>762</v>
      </c>
      <c r="C17" s="709">
        <v>12</v>
      </c>
      <c r="D17" s="996">
        <f>ROUND(+'HT flujo efectivo'!H47,0)+1</f>
        <v>54614</v>
      </c>
      <c r="E17" s="717"/>
      <c r="F17" s="73">
        <v>54614</v>
      </c>
      <c r="H17" s="4">
        <f t="shared" si="0"/>
        <v>54614</v>
      </c>
      <c r="J17" s="4">
        <f t="shared" si="1"/>
        <v>54614</v>
      </c>
    </row>
    <row r="18" spans="1:10" ht="14.25" customHeight="1">
      <c r="A18" s="66" t="s">
        <v>459</v>
      </c>
      <c r="C18" s="709"/>
      <c r="D18" s="994">
        <f>ROUND('HT flujo efectivo'!J36+'HT flujo efectivo'!J37+'HT flujo efectivo'!J38+'HT flujo efectivo'!J39,0)</f>
        <v>-1489240</v>
      </c>
      <c r="E18" s="717"/>
      <c r="F18" s="721">
        <f>-'Estado ganancias o pérdidas'!L19</f>
        <v>-1269294</v>
      </c>
      <c r="H18" s="4">
        <f t="shared" si="0"/>
        <v>-1489240</v>
      </c>
      <c r="J18" s="4">
        <f t="shared" si="1"/>
        <v>-1269294</v>
      </c>
    </row>
    <row r="19" spans="1:10" ht="14.25" customHeight="1">
      <c r="A19" s="66" t="s">
        <v>763</v>
      </c>
      <c r="C19" s="709">
        <v>5</v>
      </c>
      <c r="D19" s="994">
        <f>ROUND(+'HT flujo efectivo'!H40,0)</f>
        <v>525315</v>
      </c>
      <c r="E19" s="717"/>
      <c r="F19" s="721">
        <v>584295</v>
      </c>
      <c r="H19" s="4">
        <f t="shared" si="0"/>
        <v>525315</v>
      </c>
      <c r="J19" s="4">
        <f t="shared" si="1"/>
        <v>584295</v>
      </c>
    </row>
    <row r="20" spans="1:10" ht="14.25" hidden="1" customHeight="1">
      <c r="A20" s="66" t="s">
        <v>460</v>
      </c>
      <c r="C20" s="709"/>
      <c r="D20" s="899">
        <f>+'HT flujo efectivo'!L120</f>
        <v>0</v>
      </c>
      <c r="E20" s="717"/>
      <c r="F20" s="632">
        <v>0</v>
      </c>
      <c r="J20" s="4">
        <f t="shared" si="1"/>
        <v>0</v>
      </c>
    </row>
    <row r="21" spans="1:10" ht="14.25" customHeight="1">
      <c r="A21" s="66" t="s">
        <v>520</v>
      </c>
      <c r="C21" s="709" t="s">
        <v>668</v>
      </c>
      <c r="D21" s="996">
        <f>+'HT flujo efectivo'!J44</f>
        <v>38193</v>
      </c>
      <c r="E21" s="717"/>
      <c r="F21" s="899">
        <v>0</v>
      </c>
      <c r="H21" s="4">
        <f t="shared" si="0"/>
        <v>38193</v>
      </c>
      <c r="J21" s="4">
        <f t="shared" si="1"/>
        <v>0</v>
      </c>
    </row>
    <row r="22" spans="1:10" ht="14.25" hidden="1" customHeight="1">
      <c r="A22" s="66" t="s">
        <v>758</v>
      </c>
      <c r="C22" s="762">
        <v>22</v>
      </c>
      <c r="D22" s="993">
        <v>0</v>
      </c>
      <c r="E22" s="717"/>
      <c r="F22" s="721">
        <v>0</v>
      </c>
      <c r="J22" s="4">
        <f t="shared" si="1"/>
        <v>0</v>
      </c>
    </row>
    <row r="23" spans="1:10" ht="14.25" customHeight="1">
      <c r="A23" s="66" t="s">
        <v>461</v>
      </c>
      <c r="C23" s="709">
        <v>10</v>
      </c>
      <c r="D23" s="994">
        <f>ROUND(+'HT flujo efectivo'!J42,0)</f>
        <v>-12265255</v>
      </c>
      <c r="E23" s="71"/>
      <c r="F23" s="557">
        <v>-17820895</v>
      </c>
      <c r="H23" s="4">
        <f t="shared" si="0"/>
        <v>-12265255</v>
      </c>
      <c r="J23" s="4">
        <f t="shared" si="1"/>
        <v>-17820895</v>
      </c>
    </row>
    <row r="24" spans="1:10" ht="14.25" customHeight="1">
      <c r="A24" s="66" t="s">
        <v>746</v>
      </c>
      <c r="C24" s="66"/>
      <c r="D24" s="71"/>
      <c r="F24" s="66"/>
      <c r="J24" s="4">
        <f t="shared" si="1"/>
        <v>0</v>
      </c>
    </row>
    <row r="25" spans="1:10" ht="14.25" customHeight="1">
      <c r="A25" s="66" t="s">
        <v>747</v>
      </c>
      <c r="C25" s="709">
        <v>10</v>
      </c>
      <c r="D25" s="996">
        <f>ROUND(+'HT flujo efectivo'!H43,0)</f>
        <v>6310000</v>
      </c>
      <c r="E25" s="71"/>
      <c r="F25" s="73">
        <v>13506862</v>
      </c>
      <c r="H25" s="4">
        <f>ROUND(D25,0)</f>
        <v>6310000</v>
      </c>
      <c r="J25" s="4">
        <f t="shared" si="1"/>
        <v>13506862</v>
      </c>
    </row>
    <row r="26" spans="1:10" ht="14.25" customHeight="1">
      <c r="A26" s="71" t="s">
        <v>1202</v>
      </c>
      <c r="B26" s="71"/>
      <c r="C26" s="71"/>
      <c r="D26" s="632"/>
      <c r="E26" s="71"/>
      <c r="F26" s="557"/>
      <c r="J26" s="4">
        <f t="shared" si="1"/>
        <v>0</v>
      </c>
    </row>
    <row r="27" spans="1:10" ht="14.25" customHeight="1">
      <c r="A27" s="66" t="s">
        <v>510</v>
      </c>
      <c r="C27" s="766">
        <v>10</v>
      </c>
      <c r="D27" s="996">
        <f>ROUND(+'HT flujo efectivo'!J41,0)</f>
        <v>77240</v>
      </c>
      <c r="E27" s="73"/>
      <c r="F27" s="73">
        <v>62</v>
      </c>
      <c r="H27" s="4">
        <f t="shared" si="0"/>
        <v>77240</v>
      </c>
      <c r="J27" s="4">
        <f t="shared" si="1"/>
        <v>62</v>
      </c>
    </row>
    <row r="28" spans="1:10" ht="14.25" customHeight="1">
      <c r="A28" s="66" t="s">
        <v>511</v>
      </c>
      <c r="C28" s="709"/>
      <c r="D28" s="632"/>
      <c r="E28" s="717"/>
      <c r="F28" s="722"/>
      <c r="H28" s="4">
        <f t="shared" si="0"/>
        <v>0</v>
      </c>
      <c r="J28" s="4">
        <f t="shared" si="1"/>
        <v>0</v>
      </c>
    </row>
    <row r="29" spans="1:10" ht="14.25" customHeight="1">
      <c r="A29" s="66" t="s">
        <v>512</v>
      </c>
      <c r="C29" s="709"/>
      <c r="D29" s="899">
        <f>ROUND(+'HT flujo efectivo'!J10,0)</f>
        <v>0</v>
      </c>
      <c r="E29" s="717"/>
      <c r="F29" s="1001">
        <v>-2000000</v>
      </c>
      <c r="H29" s="4">
        <f t="shared" si="0"/>
        <v>0</v>
      </c>
      <c r="J29" s="4">
        <f t="shared" si="1"/>
        <v>-2000000</v>
      </c>
    </row>
    <row r="30" spans="1:10" ht="14.25" hidden="1" customHeight="1">
      <c r="A30" s="66" t="s">
        <v>515</v>
      </c>
      <c r="C30" s="709"/>
      <c r="D30" s="899">
        <v>0</v>
      </c>
      <c r="E30" s="717"/>
      <c r="F30" s="745">
        <v>0</v>
      </c>
      <c r="J30" s="4">
        <f t="shared" si="1"/>
        <v>0</v>
      </c>
    </row>
    <row r="31" spans="1:10" s="71" customFormat="1" ht="14.25" hidden="1" customHeight="1">
      <c r="A31" s="71" t="s">
        <v>748</v>
      </c>
      <c r="C31" s="738"/>
      <c r="D31" s="632"/>
      <c r="E31" s="717"/>
      <c r="F31" s="720">
        <v>0</v>
      </c>
      <c r="H31" s="65"/>
      <c r="J31" s="4">
        <f t="shared" si="1"/>
        <v>0</v>
      </c>
    </row>
    <row r="32" spans="1:10" ht="14.25" customHeight="1">
      <c r="A32" s="66" t="s">
        <v>513</v>
      </c>
      <c r="C32" s="709"/>
      <c r="D32" s="994">
        <f>ROUND('HT flujo efectivo'!J19,0)+'HT flujo efectivo'!J11</f>
        <v>-1178827.5045264792</v>
      </c>
      <c r="E32" s="717"/>
      <c r="F32" s="719">
        <f>-3016876-140933</f>
        <v>-3157809</v>
      </c>
      <c r="H32" s="4">
        <f>ROUND(D32,0)</f>
        <v>-1178828</v>
      </c>
      <c r="J32" s="4">
        <f t="shared" si="1"/>
        <v>-3157809</v>
      </c>
    </row>
    <row r="33" spans="1:10" ht="14.25" customHeight="1">
      <c r="A33" s="66" t="s">
        <v>514</v>
      </c>
      <c r="C33" s="709"/>
      <c r="D33" s="996">
        <f>ROUND(+'HT flujo efectivo'!J25,0)</f>
        <v>11426953</v>
      </c>
      <c r="E33" s="717"/>
      <c r="F33" s="719">
        <v>2462731</v>
      </c>
      <c r="H33" s="4">
        <f t="shared" si="0"/>
        <v>11426953</v>
      </c>
      <c r="J33" s="4">
        <f t="shared" si="1"/>
        <v>2462731</v>
      </c>
    </row>
    <row r="34" spans="1:10" ht="14.25" customHeight="1">
      <c r="A34" s="66" t="s">
        <v>1431</v>
      </c>
      <c r="C34" s="935"/>
      <c r="D34" s="996">
        <f>'HT flujo efectivo'!J29+'HT flujo efectivo'!J31</f>
        <v>-10352024</v>
      </c>
      <c r="E34" s="717"/>
      <c r="F34" s="899">
        <v>0</v>
      </c>
    </row>
    <row r="35" spans="1:10" ht="14.25" customHeight="1">
      <c r="C35" s="709"/>
      <c r="D35" s="632"/>
      <c r="E35" s="717"/>
      <c r="F35" s="718"/>
      <c r="H35" s="4">
        <f t="shared" si="0"/>
        <v>0</v>
      </c>
      <c r="J35" s="4">
        <f t="shared" si="1"/>
        <v>0</v>
      </c>
    </row>
    <row r="36" spans="1:10" ht="14.25" customHeight="1">
      <c r="A36" s="64" t="s">
        <v>764</v>
      </c>
      <c r="C36" s="709"/>
      <c r="D36" s="73"/>
      <c r="E36" s="717"/>
      <c r="F36" s="719"/>
      <c r="H36" s="4">
        <f t="shared" si="0"/>
        <v>0</v>
      </c>
      <c r="J36" s="4">
        <f t="shared" si="1"/>
        <v>0</v>
      </c>
    </row>
    <row r="37" spans="1:10" ht="14.25" customHeight="1">
      <c r="A37" s="66" t="s">
        <v>521</v>
      </c>
      <c r="C37" s="709"/>
      <c r="D37" s="995">
        <f>ROUND('HT flujo efectivo'!J12+'HT flujo efectivo'!J13+'HT flujo efectivo'!J17+'HT flujo efectivo'!J18,0)</f>
        <v>1175002</v>
      </c>
      <c r="E37" s="719"/>
      <c r="F37" s="719">
        <f>1269294</f>
        <v>1269294</v>
      </c>
      <c r="H37" s="4">
        <f t="shared" si="0"/>
        <v>1175002</v>
      </c>
      <c r="J37" s="4">
        <f t="shared" si="1"/>
        <v>1269294</v>
      </c>
    </row>
    <row r="38" spans="1:10" ht="14.25" hidden="1" customHeight="1">
      <c r="A38" s="66" t="s">
        <v>1203</v>
      </c>
      <c r="B38" s="71"/>
      <c r="C38" s="817"/>
      <c r="D38" s="994">
        <f>-'HT flujo efectivo'!I166</f>
        <v>0</v>
      </c>
      <c r="E38" s="717"/>
      <c r="F38" s="899">
        <v>0</v>
      </c>
      <c r="G38" s="719"/>
      <c r="H38" s="719"/>
    </row>
    <row r="39" spans="1:10" ht="14.25" customHeight="1">
      <c r="A39" s="66" t="s">
        <v>522</v>
      </c>
      <c r="C39" s="709"/>
      <c r="D39" s="997">
        <f>+'HT flujo efectivo'!J24</f>
        <v>-770817</v>
      </c>
      <c r="E39" s="724"/>
      <c r="F39" s="726">
        <v>-584295</v>
      </c>
      <c r="H39" s="4">
        <f t="shared" si="0"/>
        <v>-770817</v>
      </c>
      <c r="J39" s="4">
        <f t="shared" si="1"/>
        <v>-584295</v>
      </c>
    </row>
    <row r="40" spans="1:10" ht="14.25" customHeight="1">
      <c r="A40" s="66" t="s">
        <v>1454</v>
      </c>
      <c r="C40" s="709"/>
      <c r="D40" s="725">
        <f>SUM(D13:D39)</f>
        <v>-6300557.5045264792</v>
      </c>
      <c r="E40" s="724"/>
      <c r="F40" s="725">
        <f>SUM(F13:F39)</f>
        <v>-7060800</v>
      </c>
      <c r="H40" s="75">
        <f>SUM(H13:H39)</f>
        <v>4051466</v>
      </c>
      <c r="J40" s="75">
        <f>SUM(J13:J39)</f>
        <v>-7060800</v>
      </c>
    </row>
    <row r="41" spans="1:10" ht="14.25" customHeight="1">
      <c r="C41" s="709"/>
      <c r="D41" s="723"/>
      <c r="E41" s="724"/>
      <c r="F41" s="715"/>
      <c r="H41" s="4">
        <f t="shared" si="0"/>
        <v>0</v>
      </c>
      <c r="J41" s="4">
        <f t="shared" ref="J41:J56" si="2">ROUND(F41,0)</f>
        <v>0</v>
      </c>
    </row>
    <row r="42" spans="1:10" ht="13.5" customHeight="1">
      <c r="A42" s="64" t="s">
        <v>518</v>
      </c>
      <c r="C42" s="709"/>
      <c r="D42" s="723"/>
      <c r="E42" s="724"/>
      <c r="F42" s="715"/>
      <c r="H42" s="4">
        <f t="shared" si="0"/>
        <v>0</v>
      </c>
      <c r="J42" s="4">
        <f t="shared" si="2"/>
        <v>0</v>
      </c>
    </row>
    <row r="43" spans="1:10" ht="13.5" hidden="1" customHeight="1">
      <c r="A43" s="14" t="s">
        <v>65</v>
      </c>
      <c r="C43" s="709">
        <v>22</v>
      </c>
      <c r="D43" s="899">
        <v>0</v>
      </c>
      <c r="E43" s="717"/>
      <c r="F43" s="632" t="s">
        <v>9</v>
      </c>
      <c r="H43" s="4">
        <f t="shared" si="0"/>
        <v>0</v>
      </c>
      <c r="J43" s="4" t="e">
        <f t="shared" si="2"/>
        <v>#VALUE!</v>
      </c>
    </row>
    <row r="44" spans="1:10" ht="14.25" hidden="1" customHeight="1">
      <c r="A44" s="14" t="s">
        <v>523</v>
      </c>
      <c r="C44" s="709">
        <v>11</v>
      </c>
      <c r="D44" s="899">
        <v>0</v>
      </c>
      <c r="E44" s="717"/>
      <c r="F44" s="715" t="s">
        <v>9</v>
      </c>
    </row>
    <row r="45" spans="1:10" ht="14.25" customHeight="1">
      <c r="A45" s="66" t="s">
        <v>524</v>
      </c>
      <c r="C45" s="709">
        <v>11</v>
      </c>
      <c r="D45" s="966">
        <f>ROUND('HT flujo efectivo'!K15,0)</f>
        <v>0</v>
      </c>
      <c r="E45" s="724"/>
      <c r="F45" s="727">
        <v>-7968</v>
      </c>
      <c r="H45" s="4">
        <f t="shared" si="0"/>
        <v>0</v>
      </c>
      <c r="J45" s="4">
        <f t="shared" si="2"/>
        <v>-7968</v>
      </c>
    </row>
    <row r="46" spans="1:10" ht="14.25" customHeight="1">
      <c r="A46" s="66" t="s">
        <v>1455</v>
      </c>
      <c r="C46" s="709"/>
      <c r="D46" s="966">
        <f>SUM(D43:D45)</f>
        <v>0</v>
      </c>
      <c r="E46" s="724"/>
      <c r="F46" s="898">
        <f>SUM(F43:F45)</f>
        <v>-7968</v>
      </c>
      <c r="H46" s="6">
        <f>SUM(H43:H45)</f>
        <v>0</v>
      </c>
      <c r="J46" s="4">
        <f t="shared" si="2"/>
        <v>-7968</v>
      </c>
    </row>
    <row r="47" spans="1:10" ht="14.25" customHeight="1">
      <c r="C47" s="709"/>
      <c r="D47" s="723"/>
      <c r="E47" s="724"/>
      <c r="F47" s="723"/>
      <c r="H47" s="4">
        <f t="shared" si="0"/>
        <v>0</v>
      </c>
    </row>
    <row r="48" spans="1:10" ht="13.5" customHeight="1">
      <c r="A48" s="64" t="s">
        <v>517</v>
      </c>
      <c r="C48" s="709"/>
      <c r="D48" s="965"/>
      <c r="E48" s="724"/>
      <c r="F48" s="728"/>
      <c r="H48" s="4">
        <f t="shared" si="0"/>
        <v>0</v>
      </c>
      <c r="J48" s="4">
        <f t="shared" si="2"/>
        <v>0</v>
      </c>
    </row>
    <row r="49" spans="1:252" ht="13.5" customHeight="1">
      <c r="A49" s="66" t="s">
        <v>1460</v>
      </c>
      <c r="C49" s="709"/>
      <c r="D49" s="998">
        <f>ROUND('HT flujo efectivo'!L23,0)</f>
        <v>-6940</v>
      </c>
      <c r="E49" s="1000"/>
      <c r="F49" s="77">
        <v>-33704</v>
      </c>
      <c r="H49" s="4">
        <f t="shared" si="0"/>
        <v>-6940</v>
      </c>
    </row>
    <row r="50" spans="1:252" ht="13.5" hidden="1" customHeight="1">
      <c r="A50" s="66" t="s">
        <v>66</v>
      </c>
      <c r="C50" s="709"/>
      <c r="D50" s="994">
        <v>0</v>
      </c>
      <c r="E50" s="724"/>
      <c r="F50" s="999">
        <v>0</v>
      </c>
      <c r="H50" s="4">
        <f t="shared" si="0"/>
        <v>0</v>
      </c>
      <c r="I50" s="76"/>
      <c r="J50" s="4">
        <f>ROUND(F50,0)</f>
        <v>0</v>
      </c>
    </row>
    <row r="51" spans="1:252" ht="13.5" hidden="1" customHeight="1">
      <c r="A51" s="66" t="s">
        <v>67</v>
      </c>
      <c r="C51" s="709"/>
      <c r="D51" s="899">
        <v>0</v>
      </c>
      <c r="E51" s="724"/>
      <c r="F51" s="718">
        <v>0</v>
      </c>
      <c r="G51" s="76"/>
      <c r="H51" s="4">
        <f t="shared" si="0"/>
        <v>0</v>
      </c>
      <c r="I51" s="76"/>
      <c r="J51" s="4">
        <f t="shared" si="2"/>
        <v>0</v>
      </c>
    </row>
    <row r="52" spans="1:252" ht="13.5" customHeight="1">
      <c r="A52" s="66" t="s">
        <v>1456</v>
      </c>
      <c r="C52" s="709"/>
      <c r="D52" s="77">
        <f>SUM(D49:D51)</f>
        <v>-6940</v>
      </c>
      <c r="E52" s="729"/>
      <c r="F52" s="77">
        <f>SUM(F49:F51)</f>
        <v>-33704</v>
      </c>
      <c r="H52" s="77">
        <f>SUM(H49:H51)</f>
        <v>-6940</v>
      </c>
      <c r="I52" s="76"/>
      <c r="J52" s="4">
        <f>ROUND(F52,0)</f>
        <v>-33704</v>
      </c>
    </row>
    <row r="53" spans="1:252" ht="14.25" customHeight="1">
      <c r="C53" s="709"/>
      <c r="D53" s="65"/>
      <c r="E53" s="729"/>
      <c r="F53" s="730"/>
      <c r="H53" s="4">
        <f>ROUND(D53,0)</f>
        <v>0</v>
      </c>
      <c r="I53" s="76"/>
      <c r="J53" s="4">
        <f t="shared" si="2"/>
        <v>0</v>
      </c>
    </row>
    <row r="54" spans="1:252" ht="14.25" customHeight="1">
      <c r="A54" s="71" t="s">
        <v>1461</v>
      </c>
      <c r="B54" s="71"/>
      <c r="C54" s="709"/>
      <c r="D54" s="65">
        <f>(+D40+D46+D52)</f>
        <v>-6307497.5045264792</v>
      </c>
      <c r="E54" s="119"/>
      <c r="F54" s="65">
        <f>+F40+F46+F52</f>
        <v>-7102472</v>
      </c>
      <c r="H54" s="65">
        <f>+H40+H46+H52</f>
        <v>4044526</v>
      </c>
      <c r="I54" s="76"/>
      <c r="J54" s="4">
        <f t="shared" si="2"/>
        <v>-7102472</v>
      </c>
    </row>
    <row r="55" spans="1:252" s="4" customFormat="1" ht="14.25" customHeight="1">
      <c r="A55" s="66" t="s">
        <v>1221</v>
      </c>
      <c r="B55" s="66"/>
      <c r="C55" s="709"/>
      <c r="D55" s="77">
        <v>17195866</v>
      </c>
      <c r="E55" s="729"/>
      <c r="F55" s="77">
        <v>15497737</v>
      </c>
      <c r="G55" s="66"/>
      <c r="H55" s="4">
        <f>ROUND(D55,0)</f>
        <v>17195866</v>
      </c>
      <c r="I55" s="76"/>
      <c r="J55" s="4">
        <f t="shared" si="2"/>
        <v>15497737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</row>
    <row r="56" spans="1:252" s="4" customFormat="1" ht="14.25" customHeight="1" thickBot="1">
      <c r="A56" s="66" t="s">
        <v>1222</v>
      </c>
      <c r="B56" s="66"/>
      <c r="C56" s="709">
        <v>9</v>
      </c>
      <c r="D56" s="79">
        <f>SUM(D54:D55)</f>
        <v>10888368.495473521</v>
      </c>
      <c r="E56" s="729"/>
      <c r="F56" s="784">
        <f>SUM(F54:F55)</f>
        <v>8395265</v>
      </c>
      <c r="G56" s="66"/>
      <c r="H56" s="79">
        <f>SUM(H54:H55)</f>
        <v>21240392</v>
      </c>
      <c r="I56" s="76"/>
      <c r="J56" s="4">
        <f t="shared" si="2"/>
        <v>8395265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</row>
    <row r="57" spans="1:252" s="4" customFormat="1">
      <c r="A57" s="66"/>
      <c r="B57" s="66"/>
      <c r="C57" s="513"/>
      <c r="D57" s="73"/>
      <c r="E57" s="78"/>
      <c r="F57" s="541"/>
      <c r="G57" s="66"/>
      <c r="H57" s="4">
        <f>ROUND(D57,0)</f>
        <v>0</v>
      </c>
      <c r="I57" s="76"/>
      <c r="J57" s="4">
        <f>ROUND(F57,0)</f>
        <v>0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</row>
    <row r="58" spans="1:252" s="319" customFormat="1">
      <c r="A58" s="66" t="str">
        <f>+'Estado de situación financiera'!A46</f>
        <v>Las notas en las páginas 6 a la 42 son parte integral de estos estados financieros consolidados intermedios.</v>
      </c>
      <c r="B58" s="66"/>
      <c r="C58" s="513"/>
      <c r="D58" s="65"/>
      <c r="E58" s="78"/>
      <c r="F58" s="541"/>
      <c r="G58" s="316"/>
      <c r="I58" s="320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  <c r="BO58" s="316"/>
      <c r="BP58" s="316"/>
      <c r="BQ58" s="316"/>
      <c r="BR58" s="316"/>
      <c r="BS58" s="316"/>
      <c r="BT58" s="316"/>
      <c r="BU58" s="316"/>
      <c r="BV58" s="316"/>
      <c r="BW58" s="316"/>
      <c r="BX58" s="316"/>
      <c r="BY58" s="316"/>
      <c r="BZ58" s="316"/>
      <c r="CA58" s="316"/>
      <c r="CB58" s="316"/>
      <c r="CC58" s="316"/>
      <c r="CD58" s="316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316"/>
      <c r="CY58" s="316"/>
      <c r="CZ58" s="316"/>
      <c r="DA58" s="316"/>
      <c r="DB58" s="316"/>
      <c r="DC58" s="316"/>
      <c r="DD58" s="316"/>
      <c r="DE58" s="316"/>
      <c r="DF58" s="316"/>
      <c r="DG58" s="316"/>
      <c r="DH58" s="316"/>
      <c r="DI58" s="316"/>
      <c r="DJ58" s="316"/>
      <c r="DK58" s="316"/>
      <c r="DL58" s="316"/>
      <c r="DM58" s="316"/>
      <c r="DN58" s="316"/>
      <c r="DO58" s="316"/>
      <c r="DP58" s="316"/>
      <c r="DQ58" s="316"/>
      <c r="DR58" s="316"/>
      <c r="DS58" s="316"/>
      <c r="DT58" s="316"/>
      <c r="DU58" s="316"/>
      <c r="DV58" s="316"/>
      <c r="DW58" s="316"/>
      <c r="DX58" s="316"/>
      <c r="DY58" s="316"/>
      <c r="DZ58" s="316"/>
      <c r="EA58" s="316"/>
      <c r="EB58" s="316"/>
      <c r="EC58" s="316"/>
      <c r="ED58" s="316"/>
      <c r="EE58" s="316"/>
      <c r="EF58" s="316"/>
      <c r="EG58" s="316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316"/>
      <c r="FL58" s="316"/>
      <c r="FM58" s="316"/>
      <c r="FN58" s="316"/>
      <c r="FO58" s="316"/>
      <c r="FP58" s="316"/>
      <c r="FQ58" s="316"/>
      <c r="FR58" s="316"/>
      <c r="FS58" s="316"/>
      <c r="FT58" s="316"/>
      <c r="FU58" s="316"/>
      <c r="FV58" s="316"/>
      <c r="FW58" s="316"/>
      <c r="FX58" s="316"/>
      <c r="FY58" s="316"/>
      <c r="FZ58" s="316"/>
      <c r="GA58" s="316"/>
      <c r="GB58" s="316"/>
      <c r="GC58" s="316"/>
      <c r="GD58" s="316"/>
      <c r="GE58" s="316"/>
      <c r="GF58" s="316"/>
      <c r="GG58" s="316"/>
      <c r="GH58" s="316"/>
      <c r="GI58" s="316"/>
      <c r="GJ58" s="316"/>
      <c r="GK58" s="316"/>
      <c r="GL58" s="316"/>
      <c r="GM58" s="316"/>
      <c r="GN58" s="316"/>
      <c r="GO58" s="316"/>
      <c r="GP58" s="316"/>
      <c r="GQ58" s="316"/>
      <c r="GR58" s="316"/>
      <c r="GS58" s="316"/>
      <c r="GT58" s="316"/>
      <c r="GU58" s="316"/>
      <c r="GV58" s="316"/>
      <c r="GW58" s="316"/>
      <c r="GX58" s="316"/>
      <c r="GY58" s="316"/>
      <c r="GZ58" s="316"/>
      <c r="HA58" s="316"/>
      <c r="HB58" s="316"/>
      <c r="HC58" s="316"/>
      <c r="HD58" s="316"/>
      <c r="HE58" s="316"/>
      <c r="HF58" s="316"/>
      <c r="HG58" s="316"/>
      <c r="HH58" s="316"/>
      <c r="HI58" s="316"/>
      <c r="HJ58" s="316"/>
      <c r="HK58" s="316"/>
      <c r="HL58" s="316"/>
      <c r="HM58" s="316"/>
      <c r="HN58" s="316"/>
      <c r="HO58" s="316"/>
      <c r="HP58" s="316"/>
      <c r="HQ58" s="316"/>
      <c r="HR58" s="316"/>
      <c r="HS58" s="316"/>
      <c r="HT58" s="316"/>
      <c r="HU58" s="316"/>
      <c r="HV58" s="316"/>
      <c r="HW58" s="316"/>
      <c r="HX58" s="316"/>
      <c r="HY58" s="316"/>
      <c r="HZ58" s="316"/>
      <c r="IA58" s="316"/>
      <c r="IB58" s="316"/>
      <c r="IC58" s="316"/>
      <c r="ID58" s="316"/>
      <c r="IE58" s="316"/>
      <c r="IF58" s="316"/>
      <c r="IG58" s="316"/>
      <c r="IH58" s="316"/>
      <c r="II58" s="316"/>
      <c r="IJ58" s="316"/>
      <c r="IK58" s="316"/>
      <c r="IL58" s="316"/>
      <c r="IM58" s="316"/>
      <c r="IN58" s="316"/>
      <c r="IO58" s="316"/>
      <c r="IP58" s="316"/>
      <c r="IQ58" s="316"/>
      <c r="IR58" s="316"/>
    </row>
    <row r="59" spans="1:252" s="4" customFormat="1">
      <c r="A59" s="66"/>
      <c r="B59" s="66"/>
      <c r="C59" s="314"/>
      <c r="D59" s="319">
        <f>'Estado de situación financiera'!I13+'Estado de situación financiera'!I14-'Flujo de efectivo'!D56</f>
        <v>219999.50452647917</v>
      </c>
      <c r="E59" s="78"/>
      <c r="F59" s="1004">
        <v>8395265</v>
      </c>
      <c r="G59" s="66"/>
      <c r="I59" s="7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</row>
    <row r="60" spans="1:252" s="4" customFormat="1">
      <c r="A60" s="66"/>
      <c r="B60" s="66"/>
      <c r="C60" s="314"/>
      <c r="D60" s="319">
        <v>10888368</v>
      </c>
      <c r="E60" s="78"/>
      <c r="F60" s="1003">
        <f>F59-F56</f>
        <v>0</v>
      </c>
      <c r="G60" s="66"/>
      <c r="I60" s="7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</row>
    <row r="61" spans="1:252" s="4" customFormat="1">
      <c r="A61" s="66"/>
      <c r="B61" s="66"/>
      <c r="C61" s="314"/>
      <c r="D61" s="510">
        <f>D56-D60</f>
        <v>0.49547352083027363</v>
      </c>
      <c r="E61" s="78"/>
      <c r="F61" s="499"/>
      <c r="G61" s="66"/>
      <c r="I61" s="7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</row>
    <row r="62" spans="1:252" s="4" customFormat="1">
      <c r="A62" s="66"/>
      <c r="B62" s="66"/>
      <c r="C62" s="314"/>
      <c r="D62" s="319">
        <v>220000</v>
      </c>
      <c r="E62" s="78"/>
      <c r="F62" s="499"/>
      <c r="G62" s="66"/>
      <c r="I62" s="7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</row>
    <row r="63" spans="1:252" s="4" customFormat="1">
      <c r="A63" s="66"/>
      <c r="B63" s="66"/>
      <c r="C63" s="314"/>
      <c r="D63" s="319">
        <f>'Estado de situación financiera'!I13+'Estado de situación financiera'!I14</f>
        <v>11108368</v>
      </c>
      <c r="E63" s="78"/>
      <c r="F63" s="499"/>
      <c r="G63" s="66"/>
      <c r="I63" s="7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</row>
    <row r="64" spans="1:252" s="4" customFormat="1">
      <c r="A64" s="66"/>
      <c r="B64" s="66"/>
      <c r="C64" s="314"/>
      <c r="D64" s="319"/>
      <c r="E64" s="78"/>
      <c r="F64" s="499"/>
      <c r="G64" s="66"/>
      <c r="I64" s="7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</row>
    <row r="65" spans="1:252" s="4" customFormat="1">
      <c r="A65" s="66"/>
      <c r="B65" s="66"/>
      <c r="C65" s="314"/>
      <c r="D65" s="319"/>
      <c r="E65" s="78"/>
      <c r="F65" s="499"/>
      <c r="G65" s="66"/>
      <c r="I65" s="7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</row>
    <row r="66" spans="1:252" s="4" customFormat="1">
      <c r="A66" s="66"/>
      <c r="B66" s="66"/>
      <c r="C66" s="314"/>
      <c r="D66" s="319"/>
      <c r="E66" s="78"/>
      <c r="F66" s="499"/>
      <c r="G66" s="66"/>
      <c r="H66" s="4">
        <v>145946</v>
      </c>
      <c r="I66" s="7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</row>
    <row r="67" spans="1:252" s="4" customFormat="1">
      <c r="A67" s="66"/>
      <c r="B67" s="66"/>
      <c r="C67" s="314"/>
      <c r="D67" s="319"/>
      <c r="E67" s="78"/>
      <c r="F67" s="499"/>
      <c r="G67" s="66"/>
      <c r="H67" s="4">
        <f>H66+D32</f>
        <v>-1032881.5045264792</v>
      </c>
      <c r="I67" s="7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</row>
    <row r="68" spans="1:252" s="4" customFormat="1">
      <c r="A68" s="66"/>
      <c r="B68" s="66"/>
      <c r="C68" s="314"/>
      <c r="D68" s="319">
        <f>SUM(D66:D67)</f>
        <v>0</v>
      </c>
      <c r="E68" s="78"/>
      <c r="F68" s="499"/>
      <c r="G68" s="66"/>
      <c r="I68" s="7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</row>
    <row r="69" spans="1:252" s="4" customFormat="1">
      <c r="A69" s="66"/>
      <c r="B69" s="66"/>
      <c r="C69" s="314"/>
      <c r="D69" s="319"/>
      <c r="E69" s="78"/>
      <c r="F69" s="499"/>
      <c r="G69" s="66"/>
      <c r="I69" s="7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</row>
    <row r="70" spans="1:252" s="4" customFormat="1">
      <c r="A70" s="66"/>
      <c r="B70" s="66"/>
      <c r="C70" s="314"/>
      <c r="D70" s="319"/>
      <c r="E70" s="78"/>
      <c r="F70" s="499"/>
      <c r="G70" s="66"/>
      <c r="I70" s="7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</row>
    <row r="71" spans="1:252" s="4" customFormat="1">
      <c r="A71" s="80"/>
      <c r="B71" s="81"/>
      <c r="C71" s="317"/>
      <c r="D71" s="915"/>
      <c r="E71" s="66"/>
      <c r="F71" s="500"/>
      <c r="G71" s="66"/>
      <c r="I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</row>
    <row r="72" spans="1:252" s="4" customFormat="1">
      <c r="A72" s="80"/>
      <c r="B72" s="81"/>
      <c r="C72" s="317"/>
      <c r="D72" s="915"/>
      <c r="E72" s="66"/>
      <c r="F72" s="500"/>
      <c r="G72" s="66"/>
      <c r="I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</row>
    <row r="73" spans="1:252" s="4" customFormat="1">
      <c r="A73" s="1013"/>
      <c r="B73" s="1013"/>
      <c r="C73" s="1013"/>
      <c r="D73" s="1013"/>
      <c r="E73" s="1013"/>
      <c r="F73" s="1013"/>
      <c r="G73" s="66"/>
      <c r="I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</row>
    <row r="74" spans="1:252" s="4" customFormat="1">
      <c r="A74" s="10"/>
      <c r="B74" s="10"/>
      <c r="C74" s="313"/>
      <c r="D74" s="909"/>
      <c r="E74" s="81"/>
      <c r="F74" s="501"/>
      <c r="G74" s="66"/>
      <c r="I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  <c r="IP74" s="66"/>
      <c r="IQ74" s="66"/>
      <c r="IR74" s="66"/>
    </row>
    <row r="75" spans="1:252" s="4" customFormat="1">
      <c r="A75" s="1014"/>
      <c r="B75" s="1015"/>
      <c r="C75" s="1015"/>
      <c r="D75" s="1015"/>
      <c r="E75" s="1015"/>
      <c r="F75" s="1015"/>
      <c r="G75" s="66"/>
      <c r="I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66"/>
      <c r="IM75" s="66"/>
      <c r="IN75" s="66"/>
      <c r="IO75" s="66"/>
      <c r="IP75" s="66"/>
      <c r="IQ75" s="66"/>
      <c r="IR75" s="66"/>
    </row>
    <row r="76" spans="1:252" s="4" customFormat="1">
      <c r="A76" s="20"/>
      <c r="B76" s="20"/>
      <c r="C76" s="315"/>
      <c r="D76" s="758"/>
      <c r="E76" s="20"/>
      <c r="F76" s="497"/>
      <c r="G76" s="66"/>
      <c r="I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  <c r="IP76" s="66"/>
      <c r="IQ76" s="66"/>
      <c r="IR76" s="66"/>
    </row>
    <row r="77" spans="1:252" s="4" customFormat="1">
      <c r="A77" s="72"/>
      <c r="B77" s="72"/>
      <c r="C77" s="318"/>
      <c r="D77" s="510"/>
      <c r="E77" s="83"/>
      <c r="F77" s="502"/>
      <c r="G77" s="66"/>
      <c r="I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  <c r="IN77" s="66"/>
      <c r="IO77" s="66"/>
      <c r="IP77" s="66"/>
      <c r="IQ77" s="66"/>
      <c r="IR77" s="66"/>
    </row>
  </sheetData>
  <mergeCells count="3">
    <mergeCell ref="A73:F73"/>
    <mergeCell ref="A75:F75"/>
    <mergeCell ref="H8:J8"/>
  </mergeCells>
  <pageMargins left="0.98425196850393704" right="0.74803149606299213" top="0.47244094488188981" bottom="1.1811023622047245" header="0" footer="0.59055118110236227"/>
  <pageSetup scale="86" orientation="portrait" r:id="rId1"/>
  <headerFooter>
    <oddFooter>&amp;C&amp;"Arial,Normal"&amp;10- 5 -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A1:IS190"/>
  <sheetViews>
    <sheetView showGridLines="0" topLeftCell="E17" zoomScale="85" zoomScaleNormal="85" workbookViewId="0">
      <selection activeCell="G41" sqref="G41"/>
    </sheetView>
  </sheetViews>
  <sheetFormatPr baseColWidth="10" defaultColWidth="11.42578125" defaultRowHeight="15.75"/>
  <cols>
    <col min="1" max="1" width="54" style="85" customWidth="1"/>
    <col min="2" max="2" width="18" style="124" customWidth="1"/>
    <col min="3" max="3" width="2" style="416" customWidth="1"/>
    <col min="4" max="4" width="18" style="124" customWidth="1"/>
    <col min="5" max="5" width="2" style="416" customWidth="1"/>
    <col min="6" max="6" width="18" style="413" customWidth="1"/>
    <col min="7" max="7" width="39.85546875" style="85" customWidth="1"/>
    <col min="8" max="8" width="21.42578125" style="85" customWidth="1"/>
    <col min="9" max="9" width="45.28515625" style="85" customWidth="1"/>
    <col min="10" max="11" width="17" style="85" customWidth="1"/>
    <col min="12" max="12" width="15.85546875" style="85" customWidth="1"/>
    <col min="13" max="13" width="14.85546875" style="85" bestFit="1" customWidth="1"/>
    <col min="14" max="14" width="15.42578125" style="85" bestFit="1" customWidth="1"/>
    <col min="15" max="15" width="16.7109375" style="85" customWidth="1"/>
    <col min="16" max="16" width="15.28515625" style="85" customWidth="1"/>
    <col min="17" max="17" width="21.28515625" style="85" customWidth="1"/>
    <col min="18" max="18" width="15.28515625" style="85" customWidth="1"/>
    <col min="19" max="19" width="3.28515625" style="85" customWidth="1"/>
    <col min="20" max="20" width="18.42578125" style="85" customWidth="1"/>
    <col min="21" max="21" width="2" style="85" customWidth="1"/>
    <col min="22" max="22" width="12.85546875" style="85" bestFit="1" customWidth="1"/>
    <col min="23" max="23" width="16.5703125" style="85" customWidth="1"/>
    <col min="24" max="24" width="13.5703125" style="85" bestFit="1" customWidth="1"/>
    <col min="25" max="16384" width="11.42578125" style="85"/>
  </cols>
  <sheetData>
    <row r="1" spans="1:15">
      <c r="A1" s="430" t="s">
        <v>0</v>
      </c>
      <c r="B1" s="431"/>
      <c r="C1" s="432"/>
      <c r="D1" s="85"/>
      <c r="E1" s="92"/>
      <c r="F1" s="409"/>
      <c r="G1" s="84"/>
      <c r="H1" s="84"/>
    </row>
    <row r="2" spans="1:15" s="89" customFormat="1">
      <c r="A2" s="86" t="s">
        <v>68</v>
      </c>
      <c r="B2" s="433"/>
      <c r="C2" s="434"/>
      <c r="D2" s="88"/>
      <c r="E2" s="90"/>
      <c r="F2" s="409"/>
      <c r="G2" s="87"/>
      <c r="H2" s="87"/>
      <c r="I2" s="88"/>
      <c r="J2" s="88"/>
      <c r="K2" s="88"/>
      <c r="L2" s="88"/>
      <c r="M2" s="88"/>
      <c r="N2" s="88"/>
      <c r="O2" s="88"/>
    </row>
    <row r="3" spans="1:15" s="89" customFormat="1">
      <c r="A3" s="88"/>
      <c r="B3" s="435"/>
      <c r="C3" s="91"/>
      <c r="D3" s="88"/>
      <c r="E3" s="90"/>
      <c r="F3" s="409"/>
      <c r="G3" s="87"/>
      <c r="H3" s="87"/>
      <c r="I3" s="88"/>
      <c r="J3" s="88"/>
      <c r="K3" s="88"/>
      <c r="L3" s="88"/>
      <c r="M3" s="88"/>
      <c r="N3" s="88"/>
      <c r="O3" s="88"/>
    </row>
    <row r="4" spans="1:15" ht="41.25" customHeight="1">
      <c r="A4" s="93"/>
      <c r="B4" s="94" t="s">
        <v>1220</v>
      </c>
      <c r="C4" s="94"/>
      <c r="D4" s="94" t="s">
        <v>70</v>
      </c>
      <c r="E4" s="94"/>
      <c r="F4" s="410"/>
      <c r="G4" s="1017" t="s">
        <v>71</v>
      </c>
      <c r="H4" s="1017"/>
      <c r="I4" s="394" t="s">
        <v>72</v>
      </c>
      <c r="J4" s="394"/>
      <c r="K4" s="394"/>
      <c r="L4" s="394"/>
      <c r="M4" s="394" t="s">
        <v>73</v>
      </c>
      <c r="N4" s="95"/>
    </row>
    <row r="5" spans="1:15">
      <c r="A5" s="93"/>
      <c r="B5" s="402">
        <v>2018</v>
      </c>
      <c r="C5" s="402"/>
      <c r="D5" s="402">
        <v>2017</v>
      </c>
      <c r="E5" s="402"/>
      <c r="F5" s="406" t="s">
        <v>69</v>
      </c>
      <c r="G5" s="96" t="s">
        <v>74</v>
      </c>
      <c r="H5" s="96" t="s">
        <v>75</v>
      </c>
      <c r="I5" s="96" t="s">
        <v>76</v>
      </c>
      <c r="J5" s="96" t="s">
        <v>77</v>
      </c>
      <c r="K5" s="96" t="s">
        <v>78</v>
      </c>
      <c r="L5" s="96" t="s">
        <v>79</v>
      </c>
      <c r="M5" s="96" t="s">
        <v>80</v>
      </c>
      <c r="N5" s="95"/>
    </row>
    <row r="6" spans="1:15">
      <c r="A6" s="97" t="s">
        <v>81</v>
      </c>
      <c r="B6" s="98"/>
      <c r="C6" s="114"/>
      <c r="D6" s="97"/>
      <c r="E6" s="33"/>
      <c r="F6" s="407"/>
      <c r="G6" s="99"/>
      <c r="H6" s="99"/>
      <c r="I6" s="100"/>
      <c r="J6" s="99"/>
      <c r="K6" s="99"/>
      <c r="L6" s="99"/>
      <c r="M6" s="99"/>
      <c r="N6" s="92"/>
    </row>
    <row r="7" spans="1:15">
      <c r="A7" s="30" t="s">
        <v>6</v>
      </c>
      <c r="B7" s="106">
        <f>SUMIF('Estado de situación financiera'!$M$13:$M$46,A7,'Estado de situación financiera'!$I$13:$I$46)</f>
        <v>1449231</v>
      </c>
      <c r="C7" s="106"/>
      <c r="D7" s="106">
        <v>1690622</v>
      </c>
      <c r="E7" s="106"/>
      <c r="F7" s="410">
        <f t="shared" ref="F7:F19" si="0">+B7-D7</f>
        <v>-241391</v>
      </c>
      <c r="G7" s="99"/>
      <c r="H7" s="99"/>
      <c r="I7" s="780">
        <f t="shared" ref="I7:I19" si="1">F7+G7-H7</f>
        <v>-241391</v>
      </c>
      <c r="J7" s="102"/>
      <c r="K7" s="99"/>
      <c r="L7" s="99"/>
      <c r="M7" s="99">
        <f>I7</f>
        <v>-241391</v>
      </c>
      <c r="N7" s="92"/>
    </row>
    <row r="8" spans="1:15">
      <c r="A8" s="30" t="s">
        <v>7</v>
      </c>
      <c r="B8" s="106">
        <f>SUMIF('Estado de situación financiera'!$M$13:$M$47,A8,'Estado de situación financiera'!$I$13:$I$47)-B9</f>
        <v>9439137</v>
      </c>
      <c r="C8" s="106"/>
      <c r="D8" s="106">
        <v>15505244</v>
      </c>
      <c r="E8" s="106"/>
      <c r="F8" s="410">
        <f t="shared" si="0"/>
        <v>-6066107</v>
      </c>
      <c r="G8" s="99"/>
      <c r="H8" s="99"/>
      <c r="I8" s="780">
        <f t="shared" si="1"/>
        <v>-6066107</v>
      </c>
      <c r="J8" s="102"/>
      <c r="K8" s="99"/>
      <c r="L8" s="99"/>
      <c r="M8" s="99">
        <f>I8</f>
        <v>-6066107</v>
      </c>
      <c r="N8" s="92"/>
    </row>
    <row r="9" spans="1:15">
      <c r="A9" s="30" t="s">
        <v>455</v>
      </c>
      <c r="B9" s="982">
        <v>220000</v>
      </c>
      <c r="C9" s="106"/>
      <c r="D9" s="106">
        <v>220000</v>
      </c>
      <c r="E9" s="106"/>
      <c r="F9" s="410">
        <f t="shared" si="0"/>
        <v>0</v>
      </c>
      <c r="G9" s="99"/>
      <c r="H9" s="99"/>
      <c r="I9" s="780">
        <f t="shared" si="1"/>
        <v>0</v>
      </c>
      <c r="J9" s="102">
        <f t="shared" ref="J9:J14" si="2">-I9</f>
        <v>0</v>
      </c>
      <c r="K9" s="99"/>
      <c r="L9" s="99"/>
      <c r="M9" s="99"/>
      <c r="N9" s="92"/>
    </row>
    <row r="10" spans="1:15">
      <c r="A10" s="30" t="s">
        <v>456</v>
      </c>
      <c r="B10" s="982">
        <f>+Consolidado!K11</f>
        <v>11050000</v>
      </c>
      <c r="C10" s="106"/>
      <c r="D10" s="106">
        <v>11050000</v>
      </c>
      <c r="E10" s="106"/>
      <c r="F10" s="410">
        <f t="shared" si="0"/>
        <v>0</v>
      </c>
      <c r="G10" s="99"/>
      <c r="H10" s="99"/>
      <c r="I10" s="780">
        <f t="shared" si="1"/>
        <v>0</v>
      </c>
      <c r="J10" s="102">
        <f t="shared" si="2"/>
        <v>0</v>
      </c>
      <c r="K10" s="99"/>
      <c r="L10" s="99"/>
      <c r="M10" s="99"/>
      <c r="N10" s="92"/>
    </row>
    <row r="11" spans="1:15">
      <c r="A11" s="30" t="s">
        <v>83</v>
      </c>
      <c r="B11" s="106">
        <f>+Consolidado!K15+Consolidado!K38-B13-B12</f>
        <v>14802615.800000001</v>
      </c>
      <c r="C11" s="106"/>
      <c r="D11" s="106">
        <f>9275599.52-G58</f>
        <v>9215856.0899999999</v>
      </c>
      <c r="E11" s="106"/>
      <c r="F11" s="410">
        <f t="shared" si="0"/>
        <v>5586759.7100000009</v>
      </c>
      <c r="G11" s="781">
        <f>+H43</f>
        <v>6310000</v>
      </c>
      <c r="H11" s="782">
        <f>+G41+G42</f>
        <v>12188015.205473522</v>
      </c>
      <c r="I11" s="780">
        <f>F11+G11-H11</f>
        <v>-291255.49547352083</v>
      </c>
      <c r="J11" s="803">
        <f t="shared" si="2"/>
        <v>291255.49547352083</v>
      </c>
      <c r="K11" s="99"/>
      <c r="L11" s="99"/>
      <c r="M11" s="99"/>
      <c r="N11" s="92"/>
    </row>
    <row r="12" spans="1:15">
      <c r="A12" s="93" t="s">
        <v>1459</v>
      </c>
      <c r="B12" s="106">
        <f>Consolidado!G38</f>
        <v>131552.59999999998</v>
      </c>
      <c r="C12" s="106"/>
      <c r="D12" s="106">
        <f>G58</f>
        <v>59743.43</v>
      </c>
      <c r="E12" s="106"/>
      <c r="F12" s="410">
        <f t="shared" si="0"/>
        <v>71809.169999999984</v>
      </c>
      <c r="G12" s="781"/>
      <c r="H12" s="782">
        <f>G38</f>
        <v>110445.92</v>
      </c>
      <c r="I12" s="780">
        <f>F12+G12-H12</f>
        <v>-38636.750000000015</v>
      </c>
      <c r="J12" s="991">
        <f t="shared" si="2"/>
        <v>38636.750000000015</v>
      </c>
      <c r="K12" s="99"/>
      <c r="L12" s="99"/>
      <c r="M12" s="99"/>
      <c r="N12" s="92"/>
    </row>
    <row r="13" spans="1:15">
      <c r="A13" s="30" t="s">
        <v>820</v>
      </c>
      <c r="B13" s="106">
        <f>J144</f>
        <v>395886.6</v>
      </c>
      <c r="C13" s="106"/>
      <c r="D13" s="106">
        <v>176440.48</v>
      </c>
      <c r="E13" s="106"/>
      <c r="F13" s="987">
        <f t="shared" si="0"/>
        <v>219446.11999999997</v>
      </c>
      <c r="G13" s="781">
        <f>H39</f>
        <v>19804.920000000002</v>
      </c>
      <c r="H13" s="782"/>
      <c r="I13" s="780">
        <f>F13+G13-H13</f>
        <v>239251.03999999998</v>
      </c>
      <c r="J13" s="991">
        <f t="shared" si="2"/>
        <v>-239251.03999999998</v>
      </c>
      <c r="K13" s="99"/>
      <c r="L13" s="99"/>
      <c r="M13" s="99"/>
      <c r="N13" s="92"/>
    </row>
    <row r="14" spans="1:15">
      <c r="A14" s="30" t="s">
        <v>13</v>
      </c>
      <c r="B14" s="106">
        <f>SUMIF('Estado de situación financiera'!$M$13:$M$47,A14,'Estado de situación financiera'!$I$13:$I$47)</f>
        <v>62054</v>
      </c>
      <c r="C14" s="106"/>
      <c r="D14" s="106">
        <v>62054</v>
      </c>
      <c r="E14" s="106"/>
      <c r="F14" s="410">
        <f t="shared" si="0"/>
        <v>0</v>
      </c>
      <c r="G14" s="99"/>
      <c r="H14" s="99"/>
      <c r="I14" s="780">
        <f t="shared" si="1"/>
        <v>0</v>
      </c>
      <c r="J14" s="102">
        <f t="shared" si="2"/>
        <v>0</v>
      </c>
      <c r="K14" s="99"/>
      <c r="L14" s="99"/>
      <c r="M14" s="99"/>
      <c r="N14" s="92"/>
    </row>
    <row r="15" spans="1:15">
      <c r="A15" s="93" t="s">
        <v>448</v>
      </c>
      <c r="B15" s="106">
        <f>SUMIF('Estado de situación financiera'!$M$13:$M$47,A15,'Estado de situación financiera'!$I$13:$I$47)</f>
        <v>86601</v>
      </c>
      <c r="C15" s="106"/>
      <c r="D15" s="106">
        <v>94628</v>
      </c>
      <c r="E15" s="106"/>
      <c r="F15" s="410">
        <f t="shared" si="0"/>
        <v>-8027</v>
      </c>
      <c r="G15" s="984">
        <f>J85+J86+J87</f>
        <v>8027.34</v>
      </c>
      <c r="H15" s="99"/>
      <c r="I15" s="780">
        <f t="shared" si="1"/>
        <v>0.34000000000014552</v>
      </c>
      <c r="J15" s="436"/>
      <c r="K15" s="99">
        <f>-I15</f>
        <v>-0.34000000000014552</v>
      </c>
      <c r="L15" s="99"/>
      <c r="M15" s="99"/>
      <c r="N15" s="92"/>
    </row>
    <row r="16" spans="1:15">
      <c r="A16" s="93" t="s">
        <v>15</v>
      </c>
      <c r="B16" s="106">
        <f>SUMIF('Estado de situación financiera'!$M$13:$M$47,A16,'Estado de situación financiera'!$I$13:$I$47)</f>
        <v>236658</v>
      </c>
      <c r="C16" s="106"/>
      <c r="D16" s="106">
        <v>291272</v>
      </c>
      <c r="E16" s="106"/>
      <c r="F16" s="410">
        <f t="shared" si="0"/>
        <v>-54614</v>
      </c>
      <c r="G16" s="985">
        <f>+H47</f>
        <v>54613</v>
      </c>
      <c r="H16" s="99"/>
      <c r="I16" s="780">
        <f>F16+G16-H16</f>
        <v>-1</v>
      </c>
      <c r="J16" s="102">
        <f>-I16</f>
        <v>1</v>
      </c>
      <c r="K16" s="99"/>
      <c r="L16" s="99"/>
      <c r="M16" s="99"/>
      <c r="N16" s="105"/>
    </row>
    <row r="17" spans="1:14">
      <c r="A17" s="93" t="s">
        <v>780</v>
      </c>
      <c r="B17" s="106">
        <f>+B58</f>
        <v>247955.03999999998</v>
      </c>
      <c r="C17" s="106"/>
      <c r="D17" s="106">
        <v>260296.86</v>
      </c>
      <c r="E17" s="106"/>
      <c r="F17" s="987">
        <f t="shared" si="0"/>
        <v>-12341.820000000007</v>
      </c>
      <c r="G17" s="104"/>
      <c r="H17" s="779">
        <f>+G36</f>
        <v>1228298</v>
      </c>
      <c r="I17" s="780">
        <f>F17+G17-H17</f>
        <v>-1240639.82</v>
      </c>
      <c r="J17" s="992">
        <f>-I17</f>
        <v>1240639.82</v>
      </c>
      <c r="K17" s="99"/>
      <c r="L17" s="99"/>
      <c r="M17" s="99"/>
      <c r="N17" s="105"/>
    </row>
    <row r="18" spans="1:14">
      <c r="A18" s="93" t="s">
        <v>457</v>
      </c>
      <c r="B18" s="982">
        <f>SUMIF(Consolidado!O:O,A18,Consolidado!K:K)</f>
        <v>100075</v>
      </c>
      <c r="C18" s="106"/>
      <c r="D18" s="106">
        <v>64750</v>
      </c>
      <c r="E18" s="106"/>
      <c r="F18" s="987">
        <f t="shared" si="0"/>
        <v>35325</v>
      </c>
      <c r="G18" s="104"/>
      <c r="H18" s="785">
        <f>+G37</f>
        <v>170301</v>
      </c>
      <c r="I18" s="780">
        <f>F18+G18-H18</f>
        <v>-134976</v>
      </c>
      <c r="J18" s="992">
        <f>-I18</f>
        <v>134976</v>
      </c>
      <c r="K18" s="99"/>
      <c r="L18" s="99"/>
      <c r="M18" s="99"/>
      <c r="N18" s="105"/>
    </row>
    <row r="19" spans="1:14">
      <c r="A19" s="30" t="s">
        <v>16</v>
      </c>
      <c r="B19" s="106">
        <f>SUMIF('Estado de situación financiera'!$M$13:$M$47,A19,'Estado de situación financiera'!$I$13:$I$47)-B17</f>
        <v>2824491.96</v>
      </c>
      <c r="C19" s="106"/>
      <c r="D19" s="106">
        <f>1407903.6-53494.46</f>
        <v>1354409.1400000001</v>
      </c>
      <c r="E19" s="106"/>
      <c r="F19" s="410">
        <f t="shared" si="0"/>
        <v>1470082.8199999998</v>
      </c>
      <c r="G19" s="785"/>
      <c r="H19" s="103"/>
      <c r="I19" s="780">
        <f t="shared" si="1"/>
        <v>1470082.8199999998</v>
      </c>
      <c r="J19" s="990">
        <f>-I19</f>
        <v>-1470082.8199999998</v>
      </c>
      <c r="K19" s="99"/>
      <c r="L19" s="99"/>
      <c r="M19" s="99"/>
      <c r="N19" s="105"/>
    </row>
    <row r="20" spans="1:14" ht="16.5" thickBot="1">
      <c r="A20" s="93"/>
      <c r="B20" s="983">
        <f>SUM(B7:B19)</f>
        <v>41046258</v>
      </c>
      <c r="C20" s="106"/>
      <c r="D20" s="983">
        <f>SUM(D7:D19)</f>
        <v>40045316</v>
      </c>
      <c r="E20" s="106"/>
      <c r="F20" s="411">
        <f>SUM(F7:F19)</f>
        <v>1000942.0000000007</v>
      </c>
      <c r="G20" s="99"/>
      <c r="H20" s="99"/>
      <c r="I20" s="780"/>
      <c r="J20" s="102"/>
      <c r="K20" s="99"/>
      <c r="L20" s="99"/>
      <c r="M20" s="99"/>
      <c r="N20" s="92"/>
    </row>
    <row r="21" spans="1:14">
      <c r="A21" s="93"/>
      <c r="B21" s="119"/>
      <c r="C21" s="106"/>
      <c r="D21" s="119"/>
      <c r="E21" s="106"/>
      <c r="F21" s="412"/>
      <c r="G21" s="99"/>
      <c r="H21" s="99"/>
      <c r="I21" s="780"/>
      <c r="J21" s="102"/>
      <c r="K21" s="99"/>
      <c r="L21" s="99"/>
      <c r="M21" s="99"/>
      <c r="N21" s="92"/>
    </row>
    <row r="22" spans="1:14">
      <c r="A22" s="97" t="s">
        <v>84</v>
      </c>
      <c r="B22" s="586"/>
      <c r="C22" s="589"/>
      <c r="D22" s="586"/>
      <c r="E22" s="589"/>
      <c r="F22" s="412"/>
      <c r="G22" s="99"/>
      <c r="H22" s="99"/>
      <c r="I22" s="780"/>
      <c r="J22" s="102"/>
      <c r="K22" s="99"/>
      <c r="L22" s="99"/>
      <c r="M22" s="99"/>
      <c r="N22" s="92"/>
    </row>
    <row r="23" spans="1:14">
      <c r="A23" s="99" t="s">
        <v>19</v>
      </c>
      <c r="B23" s="106">
        <f>+'Estado de situación financiera'!I32</f>
        <v>39750</v>
      </c>
      <c r="C23" s="106"/>
      <c r="D23" s="106">
        <v>46690</v>
      </c>
      <c r="E23" s="106"/>
      <c r="F23" s="410">
        <f t="shared" ref="F23:F29" si="3">+B23-D23</f>
        <v>-6940</v>
      </c>
      <c r="G23" s="103"/>
      <c r="H23" s="99"/>
      <c r="I23" s="780">
        <f>+F23-G23+H23</f>
        <v>-6940</v>
      </c>
      <c r="J23" s="102"/>
      <c r="K23" s="99"/>
      <c r="L23" s="103">
        <f>+I23</f>
        <v>-6940</v>
      </c>
      <c r="M23" s="99"/>
      <c r="N23" s="92"/>
    </row>
    <row r="24" spans="1:14">
      <c r="A24" s="99" t="s">
        <v>18</v>
      </c>
      <c r="B24" s="106">
        <f>+'Estado de situación financiera'!I30</f>
        <v>119319</v>
      </c>
      <c r="C24" s="106"/>
      <c r="D24" s="106">
        <v>364821</v>
      </c>
      <c r="E24" s="106"/>
      <c r="F24" s="410">
        <f t="shared" si="3"/>
        <v>-245502</v>
      </c>
      <c r="G24" s="737">
        <f>+H40</f>
        <v>525315</v>
      </c>
      <c r="H24" s="99"/>
      <c r="I24" s="780">
        <f>+F24-G24+H24</f>
        <v>-770817</v>
      </c>
      <c r="J24" s="990">
        <f>+I24</f>
        <v>-770817</v>
      </c>
      <c r="K24" s="99"/>
      <c r="L24" s="99"/>
      <c r="M24" s="99"/>
      <c r="N24" s="92"/>
    </row>
    <row r="25" spans="1:14">
      <c r="A25" s="99" t="s">
        <v>216</v>
      </c>
      <c r="B25" s="106">
        <f>+'Estado de situación financiera'!I31</f>
        <v>12388373</v>
      </c>
      <c r="C25" s="106"/>
      <c r="D25" s="106">
        <v>923227</v>
      </c>
      <c r="E25" s="106"/>
      <c r="F25" s="410">
        <f t="shared" si="3"/>
        <v>11465146</v>
      </c>
      <c r="G25" s="777">
        <f>H44</f>
        <v>38193</v>
      </c>
      <c r="H25" s="99"/>
      <c r="I25" s="780">
        <f>+F25-G25+H25</f>
        <v>11426953</v>
      </c>
      <c r="J25" s="990">
        <f>+I25</f>
        <v>11426953</v>
      </c>
      <c r="K25" s="99" t="s">
        <v>195</v>
      </c>
      <c r="L25" s="99"/>
      <c r="M25" s="99"/>
      <c r="N25" s="92"/>
    </row>
    <row r="26" spans="1:14">
      <c r="A26" s="30" t="s">
        <v>86</v>
      </c>
      <c r="B26" s="106">
        <f>SUMIF('Estado de situación financiera'!$M$13:$M$47,A26,'Estado de situación financiera'!$I$13:$I$47)</f>
        <v>150000</v>
      </c>
      <c r="C26" s="106"/>
      <c r="D26" s="106">
        <v>150000</v>
      </c>
      <c r="E26" s="106"/>
      <c r="F26" s="410">
        <f t="shared" si="3"/>
        <v>0</v>
      </c>
      <c r="G26" s="99"/>
      <c r="H26" s="99"/>
      <c r="I26" s="780">
        <f t="shared" ref="I26:I31" si="4">+F26-G26+H26</f>
        <v>0</v>
      </c>
      <c r="J26" s="102">
        <f>I26</f>
        <v>0</v>
      </c>
      <c r="K26" s="99"/>
      <c r="L26" s="99"/>
      <c r="M26" s="99"/>
      <c r="N26" s="92"/>
    </row>
    <row r="27" spans="1:14">
      <c r="A27" s="30" t="s">
        <v>24</v>
      </c>
      <c r="B27" s="106">
        <f>SUMIF('Estado de situación financiera'!$M$13:$M$47,A27,'Estado de situación financiera'!$I$13:$I$47)</f>
        <v>-366121</v>
      </c>
      <c r="C27" s="106"/>
      <c r="D27" s="106">
        <v>-414602</v>
      </c>
      <c r="E27" s="106"/>
      <c r="F27" s="410">
        <f t="shared" si="3"/>
        <v>48481</v>
      </c>
      <c r="G27" s="776">
        <v>48481</v>
      </c>
      <c r="H27" s="99"/>
      <c r="I27" s="780">
        <f t="shared" si="4"/>
        <v>0</v>
      </c>
      <c r="J27" s="102"/>
      <c r="K27" s="99"/>
      <c r="L27" s="99">
        <f>+I27</f>
        <v>0</v>
      </c>
      <c r="M27" s="99"/>
      <c r="N27" s="92"/>
    </row>
    <row r="28" spans="1:14">
      <c r="A28" s="30" t="s">
        <v>87</v>
      </c>
      <c r="B28" s="106">
        <f>SUMIF('Estado de situación financiera'!$M$13:$M$47,A28,'Estado de situación financiera'!$I$13:$I$47)</f>
        <v>-2963</v>
      </c>
      <c r="C28" s="106"/>
      <c r="D28" s="106">
        <v>-2963</v>
      </c>
      <c r="E28" s="106"/>
      <c r="F28" s="410">
        <f t="shared" si="3"/>
        <v>0</v>
      </c>
      <c r="G28" s="99"/>
      <c r="H28" s="99"/>
      <c r="I28" s="780">
        <f t="shared" si="4"/>
        <v>0</v>
      </c>
      <c r="J28" s="102"/>
      <c r="K28" s="99"/>
      <c r="L28" s="106">
        <f>+I28</f>
        <v>0</v>
      </c>
      <c r="M28" s="99"/>
      <c r="N28" s="92"/>
    </row>
    <row r="29" spans="1:14">
      <c r="A29" s="30" t="s">
        <v>22</v>
      </c>
      <c r="B29" s="106">
        <f>SUMIF('Estado de situación financiera'!$M$13:$M$47,A29,'Estado de situación financiera'!$I$13:$I$47)</f>
        <v>2089458</v>
      </c>
      <c r="C29" s="106"/>
      <c r="D29" s="106">
        <v>3424730</v>
      </c>
      <c r="E29" s="106"/>
      <c r="F29" s="410">
        <f t="shared" si="3"/>
        <v>-1335272</v>
      </c>
      <c r="G29" s="99"/>
      <c r="H29" s="99"/>
      <c r="I29" s="780">
        <f t="shared" si="4"/>
        <v>-1335272</v>
      </c>
      <c r="J29" s="989">
        <f>+I29</f>
        <v>-1335272</v>
      </c>
      <c r="K29" s="99"/>
      <c r="L29" s="99"/>
      <c r="M29" s="99"/>
      <c r="N29" s="92"/>
    </row>
    <row r="30" spans="1:14">
      <c r="A30" s="30" t="s">
        <v>88</v>
      </c>
      <c r="B30" s="106">
        <f>SUMIF('Estado de situación financiera'!$M$13:$M$47,A30,'Estado de situación financiera'!$I$13:$I$47)</f>
        <v>0</v>
      </c>
      <c r="C30" s="106"/>
      <c r="D30" s="106">
        <v>15884028</v>
      </c>
      <c r="E30" s="106"/>
      <c r="F30" s="410">
        <f>ROUND((B30-D30),0)</f>
        <v>-15884028</v>
      </c>
      <c r="G30" s="99"/>
      <c r="H30" s="99">
        <v>15884028</v>
      </c>
      <c r="I30" s="780">
        <f t="shared" si="4"/>
        <v>0</v>
      </c>
      <c r="J30" s="990"/>
      <c r="K30" s="99"/>
      <c r="L30" s="99"/>
      <c r="M30" s="99"/>
      <c r="N30" s="92"/>
    </row>
    <row r="31" spans="1:14">
      <c r="A31" s="30" t="s">
        <v>226</v>
      </c>
      <c r="B31" s="106">
        <f>SUMIF('Estado de situación financiera'!$M$13:$M$47,A31,'Estado de situación financiera'!$I$13:$I$47)</f>
        <v>26628442</v>
      </c>
      <c r="C31" s="106"/>
      <c r="D31" s="106">
        <v>19669385</v>
      </c>
      <c r="E31" s="106"/>
      <c r="F31" s="410">
        <f>+B31-D31</f>
        <v>6959057</v>
      </c>
      <c r="G31" s="107">
        <v>15884028</v>
      </c>
      <c r="H31" s="776">
        <f>G35+G27</f>
        <v>-91781</v>
      </c>
      <c r="I31" s="780">
        <f t="shared" si="4"/>
        <v>-9016752</v>
      </c>
      <c r="J31" s="989">
        <f>I31</f>
        <v>-9016752</v>
      </c>
      <c r="K31" s="99"/>
      <c r="L31" s="99"/>
      <c r="M31" s="99"/>
      <c r="N31" s="105"/>
    </row>
    <row r="32" spans="1:14" ht="16.5" thickBot="1">
      <c r="A32" s="30"/>
      <c r="B32" s="983">
        <f>SUM(B23:B31)</f>
        <v>41046258</v>
      </c>
      <c r="C32" s="106"/>
      <c r="D32" s="983">
        <f>SUM(D23:D31)</f>
        <v>40045316</v>
      </c>
      <c r="E32" s="106"/>
      <c r="F32" s="411">
        <f>SUM(F23:F31)</f>
        <v>1000942</v>
      </c>
      <c r="G32" s="99"/>
      <c r="H32" s="99"/>
      <c r="I32" s="780"/>
      <c r="J32" s="102"/>
      <c r="K32" s="99"/>
      <c r="L32" s="99"/>
      <c r="M32" s="99"/>
      <c r="N32" s="92"/>
    </row>
    <row r="33" spans="1:253">
      <c r="A33" s="30" t="s">
        <v>90</v>
      </c>
      <c r="B33" s="106">
        <f>B20-B32</f>
        <v>0</v>
      </c>
      <c r="C33" s="106"/>
      <c r="D33" s="106">
        <f>D20-D32</f>
        <v>0</v>
      </c>
      <c r="E33" s="106"/>
      <c r="F33" s="106">
        <f>F20-F32</f>
        <v>0</v>
      </c>
      <c r="G33" s="99"/>
      <c r="H33" s="99"/>
      <c r="I33" s="780"/>
      <c r="J33" s="102"/>
      <c r="K33" s="99"/>
      <c r="L33" s="99"/>
      <c r="M33" s="99"/>
      <c r="N33" s="92"/>
    </row>
    <row r="34" spans="1:253" s="92" customFormat="1">
      <c r="A34" s="419"/>
      <c r="B34" s="77"/>
      <c r="C34" s="77"/>
      <c r="D34" s="419"/>
      <c r="E34" s="419"/>
      <c r="F34" s="420"/>
      <c r="G34" s="109"/>
      <c r="H34" s="109"/>
      <c r="I34" s="110"/>
      <c r="J34" s="111"/>
      <c r="K34" s="109"/>
      <c r="L34" s="109"/>
      <c r="M34" s="109"/>
    </row>
    <row r="35" spans="1:253" s="112" customFormat="1">
      <c r="A35" s="30" t="s">
        <v>91</v>
      </c>
      <c r="B35" s="73"/>
      <c r="C35" s="73"/>
      <c r="D35" s="30"/>
      <c r="E35" s="30"/>
      <c r="F35" s="410"/>
      <c r="G35" s="776">
        <f>-+SUMIF('Estado ganancias o pérdidas'!$AB$14:$AB$58,A35,'Estado ganancias o pérdidas'!$J$14:$J$59)</f>
        <v>-140262</v>
      </c>
      <c r="H35" s="106"/>
      <c r="I35" s="101"/>
      <c r="J35" s="989">
        <f>+F35-G35+H35</f>
        <v>140262</v>
      </c>
      <c r="K35" s="99"/>
      <c r="L35" s="99"/>
      <c r="M35" s="99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</row>
    <row r="36" spans="1:253">
      <c r="A36" s="71" t="s">
        <v>770</v>
      </c>
      <c r="B36" s="73"/>
      <c r="C36" s="73"/>
      <c r="D36" s="93"/>
      <c r="E36" s="30"/>
      <c r="F36" s="410"/>
      <c r="G36" s="779">
        <f>+'Estado ganancias o pérdidas'!J16</f>
        <v>1228298</v>
      </c>
      <c r="H36" s="99"/>
      <c r="I36" s="101"/>
      <c r="J36" s="989">
        <f t="shared" ref="J36:J47" si="5">+F36-G36+H36</f>
        <v>-1228298</v>
      </c>
      <c r="K36" s="99"/>
      <c r="L36" s="99"/>
      <c r="M36" s="99"/>
      <c r="N36" s="92"/>
    </row>
    <row r="37" spans="1:253">
      <c r="A37" s="21" t="s">
        <v>766</v>
      </c>
      <c r="B37" s="73"/>
      <c r="C37" s="73"/>
      <c r="D37" s="93"/>
      <c r="E37" s="30"/>
      <c r="F37" s="410"/>
      <c r="G37" s="785">
        <f>+'Estado ganancias o pérdidas'!J17</f>
        <v>170301</v>
      </c>
      <c r="H37" s="99"/>
      <c r="I37" s="101"/>
      <c r="J37" s="989">
        <f t="shared" si="5"/>
        <v>-170301</v>
      </c>
      <c r="K37" s="99"/>
      <c r="L37" s="99"/>
      <c r="M37" s="99"/>
      <c r="N37" s="92"/>
    </row>
    <row r="38" spans="1:253">
      <c r="A38" s="21" t="s">
        <v>767</v>
      </c>
      <c r="B38" s="73"/>
      <c r="C38" s="73"/>
      <c r="D38" s="93"/>
      <c r="E38" s="30"/>
      <c r="F38" s="410"/>
      <c r="G38" s="782">
        <f>+'Estado ganancias o pérdidas'!J18+J135+J136</f>
        <v>110445.92</v>
      </c>
      <c r="H38" s="99"/>
      <c r="I38" s="101"/>
      <c r="J38" s="989">
        <f t="shared" si="5"/>
        <v>-110445.92</v>
      </c>
      <c r="K38" s="99"/>
      <c r="L38" s="99"/>
      <c r="M38" s="99"/>
      <c r="N38" s="92"/>
    </row>
    <row r="39" spans="1:253">
      <c r="A39" s="21" t="s">
        <v>820</v>
      </c>
      <c r="B39" s="73"/>
      <c r="C39" s="73"/>
      <c r="D39" s="93"/>
      <c r="E39" s="30"/>
      <c r="F39" s="410"/>
      <c r="G39" s="99"/>
      <c r="H39" s="782">
        <f>J135+J136</f>
        <v>19804.920000000002</v>
      </c>
      <c r="I39" s="101"/>
      <c r="J39" s="989">
        <f t="shared" si="5"/>
        <v>19804.920000000002</v>
      </c>
      <c r="K39" s="99"/>
      <c r="L39" s="99"/>
      <c r="M39" s="99"/>
      <c r="N39" s="92"/>
    </row>
    <row r="40" spans="1:253">
      <c r="A40" s="71" t="s">
        <v>63</v>
      </c>
      <c r="B40" s="73"/>
      <c r="C40" s="73"/>
      <c r="D40" s="113"/>
      <c r="E40" s="418"/>
      <c r="F40" s="410"/>
      <c r="G40" s="99"/>
      <c r="H40" s="737">
        <f>'Estado ganancias o pérdidas'!J30</f>
        <v>525315</v>
      </c>
      <c r="I40" s="101"/>
      <c r="J40" s="989">
        <f t="shared" si="5"/>
        <v>525315</v>
      </c>
      <c r="K40" s="99"/>
      <c r="L40" s="99"/>
      <c r="M40" s="99"/>
      <c r="N40" s="92"/>
    </row>
    <row r="41" spans="1:253">
      <c r="A41" s="71" t="s">
        <v>92</v>
      </c>
      <c r="B41" s="71"/>
      <c r="C41" s="415"/>
      <c r="D41" s="93"/>
      <c r="E41" s="30"/>
      <c r="F41" s="410"/>
      <c r="G41" s="782">
        <f>Hoja2!B73</f>
        <v>-77240.094526477536</v>
      </c>
      <c r="H41" s="99">
        <v>0</v>
      </c>
      <c r="I41" s="101"/>
      <c r="J41" s="989">
        <f t="shared" si="5"/>
        <v>77240.094526477536</v>
      </c>
      <c r="K41" s="99"/>
      <c r="L41" s="99"/>
      <c r="M41" s="99"/>
      <c r="N41" s="92"/>
    </row>
    <row r="42" spans="1:253">
      <c r="A42" s="71" t="s">
        <v>93</v>
      </c>
      <c r="B42" s="73"/>
      <c r="C42" s="73"/>
      <c r="D42" s="93"/>
      <c r="E42" s="30"/>
      <c r="F42" s="410"/>
      <c r="G42" s="782">
        <f>Hoja2!B69+Hoja2!B71+Hoja2!B72</f>
        <v>12265255.299999999</v>
      </c>
      <c r="H42" s="99"/>
      <c r="I42" s="101"/>
      <c r="J42" s="989">
        <f>+F42-G42+H42</f>
        <v>-12265255.299999999</v>
      </c>
      <c r="K42" s="99"/>
      <c r="L42" s="99"/>
      <c r="M42" s="99"/>
      <c r="N42" s="92"/>
    </row>
    <row r="43" spans="1:253">
      <c r="A43" s="71" t="s">
        <v>94</v>
      </c>
      <c r="B43" s="73"/>
      <c r="C43" s="73"/>
      <c r="D43" s="93"/>
      <c r="E43" s="30"/>
      <c r="F43" s="410"/>
      <c r="G43" s="99"/>
      <c r="H43" s="781">
        <f>-Hoja2!B70</f>
        <v>6310000</v>
      </c>
      <c r="I43" s="101"/>
      <c r="J43" s="989">
        <f t="shared" si="5"/>
        <v>6310000</v>
      </c>
      <c r="K43" s="99"/>
      <c r="L43" s="99"/>
      <c r="M43" s="99"/>
      <c r="N43" s="92"/>
    </row>
    <row r="44" spans="1:253">
      <c r="A44" s="71" t="s">
        <v>64</v>
      </c>
      <c r="B44" s="73"/>
      <c r="C44" s="73"/>
      <c r="D44" s="93"/>
      <c r="E44" s="30"/>
      <c r="F44" s="410"/>
      <c r="G44" s="99"/>
      <c r="H44" s="777">
        <f>'Estado ganancias o pérdidas'!J56</f>
        <v>38193</v>
      </c>
      <c r="I44" s="101"/>
      <c r="J44" s="989">
        <f t="shared" si="5"/>
        <v>38193</v>
      </c>
      <c r="K44" s="99"/>
      <c r="L44" s="99"/>
      <c r="M44" s="99"/>
      <c r="N44" s="92"/>
    </row>
    <row r="45" spans="1:253">
      <c r="A45" s="30" t="s">
        <v>95</v>
      </c>
      <c r="B45" s="73"/>
      <c r="C45" s="73"/>
      <c r="D45" s="93"/>
      <c r="E45" s="30"/>
      <c r="F45" s="410"/>
      <c r="G45" s="99"/>
      <c r="H45" s="779">
        <v>0</v>
      </c>
      <c r="I45" s="101"/>
      <c r="J45" s="73">
        <f t="shared" si="5"/>
        <v>0</v>
      </c>
      <c r="K45" s="99"/>
      <c r="L45" s="99"/>
      <c r="M45" s="99"/>
      <c r="N45" s="92"/>
    </row>
    <row r="46" spans="1:253">
      <c r="A46" s="30" t="s">
        <v>60</v>
      </c>
      <c r="B46" s="73"/>
      <c r="C46" s="73"/>
      <c r="D46" s="93"/>
      <c r="E46" s="30"/>
      <c r="F46" s="410"/>
      <c r="G46" s="99"/>
      <c r="H46" s="778">
        <f>+G103</f>
        <v>8027.34</v>
      </c>
      <c r="I46" s="101"/>
      <c r="J46" s="989">
        <f t="shared" si="5"/>
        <v>8027.34</v>
      </c>
      <c r="K46" s="99"/>
      <c r="L46" s="99"/>
      <c r="M46" s="99"/>
      <c r="N46" s="92"/>
    </row>
    <row r="47" spans="1:253">
      <c r="A47" s="30" t="s">
        <v>61</v>
      </c>
      <c r="B47" s="73"/>
      <c r="C47" s="73"/>
      <c r="D47" s="93"/>
      <c r="E47" s="30"/>
      <c r="F47" s="410"/>
      <c r="G47" s="99"/>
      <c r="H47" s="775">
        <f>ROUND(+J88,0)</f>
        <v>54613</v>
      </c>
      <c r="I47" s="101"/>
      <c r="J47" s="989">
        <f t="shared" si="5"/>
        <v>54613</v>
      </c>
      <c r="K47" s="99"/>
      <c r="L47" s="99"/>
      <c r="M47" s="99"/>
      <c r="N47" s="92"/>
    </row>
    <row r="48" spans="1:253">
      <c r="A48" s="33" t="s">
        <v>96</v>
      </c>
      <c r="B48" s="114"/>
      <c r="C48" s="114"/>
      <c r="D48" s="93"/>
      <c r="E48" s="30"/>
      <c r="F48" s="412"/>
      <c r="G48" s="115">
        <f t="shared" ref="G48:M48" si="6">SUM(G7:G47)</f>
        <v>36445260.38547352</v>
      </c>
      <c r="H48" s="115">
        <f t="shared" si="6"/>
        <v>36445260.385473527</v>
      </c>
      <c r="I48" s="115">
        <f t="shared" si="6"/>
        <v>-6006500.8654735219</v>
      </c>
      <c r="J48" s="116">
        <f t="shared" si="6"/>
        <v>-6300557.6600000001</v>
      </c>
      <c r="K48" s="115">
        <f t="shared" si="6"/>
        <v>-0.34000000000014552</v>
      </c>
      <c r="L48" s="115">
        <f t="shared" si="6"/>
        <v>-6940</v>
      </c>
      <c r="M48" s="115">
        <f t="shared" si="6"/>
        <v>-6307498</v>
      </c>
      <c r="N48" s="92"/>
    </row>
    <row r="49" spans="1:14">
      <c r="A49" s="30"/>
      <c r="B49" s="73"/>
      <c r="C49" s="73"/>
      <c r="D49" s="93"/>
      <c r="E49" s="30"/>
      <c r="F49" s="412"/>
      <c r="G49" s="99"/>
      <c r="H49" s="99"/>
      <c r="I49" s="99"/>
      <c r="J49" s="99"/>
      <c r="K49" s="99"/>
      <c r="L49" s="99"/>
      <c r="M49" s="99"/>
      <c r="N49" s="92"/>
    </row>
    <row r="50" spans="1:14">
      <c r="A50" s="93"/>
      <c r="B50" s="65"/>
      <c r="C50" s="73"/>
      <c r="D50" s="93"/>
      <c r="E50" s="30"/>
      <c r="F50" s="412"/>
      <c r="G50" s="117" t="s">
        <v>97</v>
      </c>
      <c r="H50" s="106">
        <f>+G48-H48</f>
        <v>0</v>
      </c>
      <c r="I50" s="99"/>
      <c r="J50" s="99"/>
      <c r="K50" s="99"/>
      <c r="L50" s="99"/>
      <c r="M50" s="99"/>
    </row>
    <row r="51" spans="1:14">
      <c r="A51" s="93" t="s">
        <v>781</v>
      </c>
      <c r="B51" s="65">
        <f>+D18</f>
        <v>64750</v>
      </c>
      <c r="C51" s="73"/>
      <c r="D51" s="93"/>
      <c r="E51" s="30"/>
      <c r="F51" s="412"/>
      <c r="G51" s="93"/>
      <c r="H51" s="118"/>
      <c r="I51" s="71"/>
      <c r="J51" s="119"/>
      <c r="K51" s="120" t="s">
        <v>97</v>
      </c>
      <c r="L51" s="121">
        <f>+J48+K48+L48-M48</f>
        <v>0</v>
      </c>
      <c r="M51" s="93"/>
    </row>
    <row r="52" spans="1:14">
      <c r="A52" s="93" t="s">
        <v>782</v>
      </c>
      <c r="B52" s="65">
        <f>+B18</f>
        <v>100075</v>
      </c>
      <c r="C52" s="73"/>
      <c r="D52" s="93"/>
      <c r="E52" s="30"/>
      <c r="F52" s="412"/>
      <c r="G52" s="93"/>
      <c r="H52" s="93"/>
      <c r="I52" s="122"/>
      <c r="J52" s="119"/>
      <c r="K52" s="93"/>
      <c r="L52" s="538"/>
      <c r="M52" s="99"/>
    </row>
    <row r="53" spans="1:14">
      <c r="A53" s="93" t="s">
        <v>69</v>
      </c>
      <c r="B53" s="783">
        <f>+B52-B51</f>
        <v>35325</v>
      </c>
      <c r="C53" s="73"/>
      <c r="D53" s="93"/>
      <c r="E53" s="30"/>
      <c r="F53" s="412"/>
      <c r="G53" s="93"/>
      <c r="H53" s="118"/>
      <c r="I53" s="122"/>
      <c r="J53" s="93"/>
      <c r="K53" s="93"/>
      <c r="L53" s="538"/>
      <c r="M53" s="99"/>
    </row>
    <row r="54" spans="1:14">
      <c r="A54" s="93" t="s">
        <v>771</v>
      </c>
      <c r="B54" s="65">
        <f>-+'Estado ganancias o pérdidas'!J17</f>
        <v>-170301</v>
      </c>
      <c r="C54" s="73"/>
      <c r="D54" s="93"/>
      <c r="E54" s="30"/>
      <c r="F54" s="412"/>
      <c r="G54" s="93"/>
      <c r="H54" s="118"/>
      <c r="I54" s="122"/>
      <c r="J54" s="93"/>
      <c r="K54" s="93"/>
      <c r="L54" s="93"/>
      <c r="M54" s="99"/>
    </row>
    <row r="55" spans="1:14" ht="16.5" thickBot="1">
      <c r="A55" s="93"/>
      <c r="B55" s="784">
        <f>SUM(B53:B54)</f>
        <v>-134976</v>
      </c>
      <c r="C55" s="73"/>
      <c r="D55" s="93"/>
      <c r="E55" s="30"/>
      <c r="F55" s="412"/>
      <c r="G55" s="93"/>
      <c r="H55" s="118"/>
      <c r="I55" s="122"/>
      <c r="J55" s="93"/>
      <c r="K55" s="93"/>
      <c r="L55" s="93"/>
      <c r="M55" s="99"/>
    </row>
    <row r="56" spans="1:14">
      <c r="A56" s="93"/>
      <c r="B56" s="73"/>
      <c r="C56" s="73"/>
      <c r="D56" s="93"/>
      <c r="E56" s="30"/>
      <c r="F56" s="412"/>
      <c r="G56" s="93"/>
      <c r="H56" s="118"/>
      <c r="I56" s="122"/>
      <c r="J56" s="93"/>
      <c r="K56" s="93"/>
      <c r="L56" s="93"/>
      <c r="M56" s="99"/>
    </row>
    <row r="57" spans="1:14">
      <c r="A57" s="93" t="s">
        <v>777</v>
      </c>
      <c r="B57" s="65">
        <f>M190</f>
        <v>260296.86</v>
      </c>
      <c r="F57" s="97" t="s">
        <v>179</v>
      </c>
      <c r="G57" s="65"/>
    </row>
    <row r="58" spans="1:14">
      <c r="A58" s="93" t="s">
        <v>778</v>
      </c>
      <c r="B58" s="65">
        <f>L190</f>
        <v>247955.03999999998</v>
      </c>
      <c r="F58" s="93" t="s">
        <v>1458</v>
      </c>
      <c r="G58" s="65">
        <v>59743.43</v>
      </c>
    </row>
    <row r="59" spans="1:14">
      <c r="A59" s="93"/>
      <c r="B59" s="783">
        <f>+B58-B57</f>
        <v>-12341.820000000007</v>
      </c>
      <c r="F59" s="810" t="s">
        <v>830</v>
      </c>
      <c r="G59" s="65">
        <f>J147+J148</f>
        <v>131552.60999999999</v>
      </c>
    </row>
    <row r="60" spans="1:14">
      <c r="A60" s="93" t="s">
        <v>779</v>
      </c>
      <c r="B60" s="65">
        <f>+'Estado ganancias o pérdidas'!J16</f>
        <v>1228298</v>
      </c>
      <c r="F60" s="93" t="s">
        <v>69</v>
      </c>
      <c r="G60" s="988">
        <f>+G59-G58</f>
        <v>71809.179999999993</v>
      </c>
      <c r="H60" s="127"/>
    </row>
    <row r="61" spans="1:14" ht="16.5" thickBot="1">
      <c r="A61" s="93"/>
      <c r="B61" s="784">
        <f>+B59-B60</f>
        <v>-1240639.82</v>
      </c>
      <c r="F61" s="93" t="s">
        <v>771</v>
      </c>
      <c r="G61" s="65">
        <f>(J130+J133+J134)</f>
        <v>-110445.75999999999</v>
      </c>
      <c r="H61" s="127"/>
    </row>
    <row r="62" spans="1:14" ht="16.5" thickBot="1">
      <c r="A62" s="93"/>
      <c r="B62" s="73"/>
      <c r="C62" s="73"/>
      <c r="D62" s="93"/>
      <c r="E62" s="30"/>
      <c r="F62" s="93"/>
      <c r="G62" s="784">
        <f>SUM(G60:G61)</f>
        <v>-38636.58</v>
      </c>
      <c r="H62" s="118"/>
      <c r="I62" s="122"/>
      <c r="J62" s="93"/>
      <c r="K62" s="93"/>
      <c r="L62" s="93"/>
      <c r="M62" s="99"/>
    </row>
    <row r="63" spans="1:14">
      <c r="A63" s="93"/>
      <c r="B63" s="65"/>
      <c r="C63" s="73"/>
      <c r="D63" s="93"/>
      <c r="E63" s="30"/>
      <c r="F63" s="412"/>
      <c r="G63" s="93"/>
      <c r="H63" s="118"/>
      <c r="I63" s="122"/>
      <c r="J63" s="93"/>
      <c r="K63" s="93"/>
      <c r="L63" s="93"/>
      <c r="M63" s="99"/>
    </row>
    <row r="64" spans="1:14">
      <c r="A64" s="93" t="s">
        <v>822</v>
      </c>
      <c r="B64" s="73"/>
      <c r="C64" s="73"/>
      <c r="D64" s="93"/>
      <c r="E64" s="30"/>
      <c r="F64" s="412"/>
      <c r="G64" s="93"/>
      <c r="H64" s="118"/>
      <c r="I64" s="122"/>
      <c r="J64" s="93"/>
      <c r="K64" s="93"/>
      <c r="L64" s="71"/>
      <c r="M64" s="71"/>
    </row>
    <row r="65" spans="1:13">
      <c r="A65" s="97" t="s">
        <v>820</v>
      </c>
      <c r="B65" s="73"/>
      <c r="C65" s="73"/>
      <c r="D65" s="97" t="s">
        <v>823</v>
      </c>
      <c r="E65" s="30"/>
      <c r="F65" s="412"/>
      <c r="G65" s="93"/>
      <c r="H65" s="804">
        <f>-'Flujo de efectivo'!D18</f>
        <v>1489240</v>
      </c>
      <c r="I65" s="122" t="s">
        <v>852</v>
      </c>
      <c r="J65" s="93"/>
      <c r="K65" s="93"/>
      <c r="L65" s="71"/>
      <c r="M65" s="71"/>
    </row>
    <row r="66" spans="1:13">
      <c r="A66" s="93" t="s">
        <v>824</v>
      </c>
      <c r="B66" s="65">
        <f>D13</f>
        <v>176440.48</v>
      </c>
      <c r="C66" s="73"/>
      <c r="D66" s="805" t="s">
        <v>721</v>
      </c>
      <c r="E66" s="30"/>
      <c r="F66" s="412">
        <f>+B66</f>
        <v>176440.48</v>
      </c>
      <c r="G66" s="93"/>
      <c r="H66" s="804">
        <f>-B53-F67</f>
        <v>-15520.079999999998</v>
      </c>
      <c r="I66" s="122" t="s">
        <v>1432</v>
      </c>
      <c r="J66" s="93"/>
      <c r="K66" s="93"/>
      <c r="L66" s="71"/>
      <c r="M66" s="71"/>
    </row>
    <row r="67" spans="1:13">
      <c r="A67" s="93" t="s">
        <v>825</v>
      </c>
      <c r="B67" s="65">
        <f>B13</f>
        <v>395886.6</v>
      </c>
      <c r="C67" s="73"/>
      <c r="D67" s="93" t="s">
        <v>826</v>
      </c>
      <c r="E67" s="30"/>
      <c r="F67" s="806">
        <f>-H39</f>
        <v>-19804.920000000002</v>
      </c>
      <c r="G67" s="93"/>
      <c r="H67" s="118">
        <f>-G60</f>
        <v>-71809.179999999993</v>
      </c>
      <c r="I67" s="122" t="s">
        <v>1433</v>
      </c>
      <c r="J67" s="118">
        <f>H67+H68</f>
        <v>-311060.21999999997</v>
      </c>
      <c r="K67" s="93" t="s">
        <v>827</v>
      </c>
      <c r="L67" s="71"/>
      <c r="M67" s="71"/>
    </row>
    <row r="68" spans="1:13">
      <c r="A68" s="97" t="s">
        <v>69</v>
      </c>
      <c r="B68" s="807">
        <f>+B67-B66</f>
        <v>219446.11999999997</v>
      </c>
      <c r="C68" s="73"/>
      <c r="D68" s="93" t="s">
        <v>828</v>
      </c>
      <c r="E68" s="30"/>
      <c r="F68" s="808">
        <f>B70</f>
        <v>239251.03999999998</v>
      </c>
      <c r="G68" s="93"/>
      <c r="H68" s="109">
        <f>-F68</f>
        <v>-239251.03999999998</v>
      </c>
      <c r="I68" s="122" t="s">
        <v>1434</v>
      </c>
      <c r="J68" s="93"/>
      <c r="K68" s="93"/>
      <c r="L68" s="71"/>
      <c r="M68" s="71"/>
    </row>
    <row r="69" spans="1:13">
      <c r="A69" s="93"/>
      <c r="B69" s="65"/>
      <c r="C69" s="73"/>
      <c r="D69" s="97" t="s">
        <v>829</v>
      </c>
      <c r="E69" s="33"/>
      <c r="F69" s="809">
        <f>SUM(F66:F68)</f>
        <v>395886.6</v>
      </c>
      <c r="G69" s="93"/>
      <c r="H69" s="118">
        <f>SUM(H65:H68)</f>
        <v>1162659.7</v>
      </c>
      <c r="I69" s="122"/>
      <c r="J69" s="93"/>
      <c r="K69" s="93"/>
      <c r="L69" s="71"/>
      <c r="M69" s="71"/>
    </row>
    <row r="70" spans="1:13">
      <c r="A70" s="93" t="s">
        <v>855</v>
      </c>
      <c r="B70" s="114">
        <f>B67-F66-F67</f>
        <v>239251.03999999998</v>
      </c>
      <c r="C70" s="73"/>
      <c r="D70" s="93"/>
      <c r="E70" s="30"/>
      <c r="F70" s="412"/>
      <c r="G70" s="93"/>
      <c r="H70" s="99">
        <f>-B59</f>
        <v>12341.820000000007</v>
      </c>
      <c r="I70" s="122" t="s">
        <v>1435</v>
      </c>
      <c r="J70" s="118">
        <f>H69-B59</f>
        <v>1175001.52</v>
      </c>
      <c r="K70" s="93"/>
      <c r="L70" s="71"/>
      <c r="M70" s="71"/>
    </row>
    <row r="71" spans="1:13">
      <c r="A71" s="93"/>
      <c r="B71" s="114"/>
      <c r="C71" s="73"/>
      <c r="D71" s="93"/>
      <c r="E71" s="30"/>
      <c r="F71" s="412"/>
      <c r="G71" s="93"/>
      <c r="H71" s="99">
        <f>-F67</f>
        <v>19804.920000000002</v>
      </c>
      <c r="I71" s="122" t="s">
        <v>1436</v>
      </c>
      <c r="J71" s="93"/>
      <c r="K71" s="93"/>
      <c r="L71" s="71"/>
      <c r="M71" s="71"/>
    </row>
    <row r="72" spans="1:13">
      <c r="A72" s="93"/>
      <c r="B72" s="73"/>
      <c r="C72" s="73"/>
      <c r="D72" s="93"/>
      <c r="E72" s="30"/>
      <c r="F72" s="412"/>
      <c r="G72" s="93"/>
      <c r="H72" s="962">
        <v>0</v>
      </c>
      <c r="I72" s="122" t="s">
        <v>854</v>
      </c>
      <c r="J72" s="93"/>
      <c r="K72" s="93"/>
      <c r="L72" s="71"/>
      <c r="M72" s="71"/>
    </row>
    <row r="73" spans="1:13">
      <c r="A73" s="71"/>
      <c r="B73" s="65"/>
      <c r="C73" s="73"/>
      <c r="D73" s="71"/>
      <c r="E73" s="415"/>
      <c r="F73" s="412"/>
      <c r="G73" s="108"/>
      <c r="H73" s="119">
        <f>H69+H70+H72+H71</f>
        <v>1194806.44</v>
      </c>
      <c r="I73" s="71"/>
      <c r="J73" s="71"/>
      <c r="K73" s="71"/>
      <c r="L73" s="71"/>
      <c r="M73" s="71"/>
    </row>
    <row r="74" spans="1:13">
      <c r="A74" s="71"/>
      <c r="B74" s="65"/>
      <c r="C74" s="73"/>
      <c r="D74" s="71"/>
      <c r="E74" s="415"/>
      <c r="F74" s="412"/>
      <c r="G74" s="108"/>
      <c r="H74" s="71"/>
      <c r="I74" s="71"/>
      <c r="J74" s="71"/>
      <c r="K74" s="119">
        <v>4891376</v>
      </c>
      <c r="L74" s="71"/>
      <c r="M74" s="71"/>
    </row>
    <row r="75" spans="1:13">
      <c r="A75" s="71"/>
      <c r="B75" s="65"/>
      <c r="C75" s="73"/>
      <c r="D75" s="71"/>
      <c r="E75" s="415"/>
      <c r="F75" s="412"/>
      <c r="G75" s="108" t="s">
        <v>857</v>
      </c>
      <c r="H75" s="119">
        <f>B55+B61+G62+B70+F67</f>
        <v>-1194806.28</v>
      </c>
      <c r="I75" s="71">
        <f>H75+'Flujo de efectivo'!D37</f>
        <v>-19804.280000000028</v>
      </c>
      <c r="J75" s="71"/>
      <c r="K75" s="71"/>
      <c r="L75" s="71"/>
      <c r="M75" s="71"/>
    </row>
    <row r="76" spans="1:13">
      <c r="A76" s="71"/>
      <c r="B76" s="65"/>
      <c r="C76" s="73"/>
      <c r="D76" s="71"/>
      <c r="E76" s="415"/>
      <c r="F76" s="412"/>
      <c r="G76" s="108"/>
      <c r="H76" s="119">
        <f>H6-H72</f>
        <v>0</v>
      </c>
      <c r="I76" s="986">
        <f>H75+'Flujo de efectivo'!D37</f>
        <v>-19804.280000000028</v>
      </c>
      <c r="J76" s="71"/>
      <c r="K76" s="71"/>
      <c r="L76" s="71"/>
      <c r="M76" s="71"/>
    </row>
    <row r="77" spans="1:13">
      <c r="A77" s="71"/>
      <c r="B77" s="65"/>
      <c r="C77" s="73"/>
      <c r="D77" s="71"/>
      <c r="E77" s="415"/>
      <c r="F77" s="412"/>
      <c r="G77" s="108"/>
      <c r="H77" s="71"/>
      <c r="I77" s="71"/>
      <c r="J77" s="71"/>
      <c r="K77" s="71"/>
      <c r="L77" s="71"/>
      <c r="M77" s="71"/>
    </row>
    <row r="78" spans="1:13">
      <c r="A78" s="71"/>
      <c r="B78" s="65"/>
      <c r="C78" s="73"/>
      <c r="D78" s="71"/>
      <c r="E78" s="415"/>
      <c r="F78"/>
      <c r="G78" s="522">
        <v>2018</v>
      </c>
      <c r="H78" s="522">
        <v>2017</v>
      </c>
      <c r="I78" s="522" t="s">
        <v>1437</v>
      </c>
      <c r="J78" t="s">
        <v>1438</v>
      </c>
      <c r="K78" s="71"/>
      <c r="L78" s="71"/>
      <c r="M78" s="71"/>
    </row>
    <row r="79" spans="1:13">
      <c r="A79" s="71"/>
      <c r="B79" s="65"/>
      <c r="C79" s="73"/>
      <c r="D79" s="71"/>
      <c r="E79" s="415"/>
      <c r="F79" t="s">
        <v>1439</v>
      </c>
      <c r="G79" s="533">
        <v>247955.03999999998</v>
      </c>
      <c r="H79" s="981">
        <v>260296.86</v>
      </c>
      <c r="I79" s="533">
        <v>1228298</v>
      </c>
      <c r="J79" s="533">
        <f>H79+I79-G79</f>
        <v>1240639.8199999998</v>
      </c>
      <c r="K79" s="986">
        <f>H79-G79</f>
        <v>12341.820000000007</v>
      </c>
      <c r="L79" s="71"/>
      <c r="M79" s="71"/>
    </row>
    <row r="80" spans="1:13">
      <c r="A80" s="71"/>
      <c r="B80" s="65"/>
      <c r="C80" s="73"/>
      <c r="D80" s="71"/>
      <c r="E80" s="415"/>
      <c r="F80" t="s">
        <v>1440</v>
      </c>
      <c r="G80" s="533">
        <v>395886.6</v>
      </c>
      <c r="H80" s="981">
        <v>176440.48</v>
      </c>
      <c r="I80" s="533">
        <v>19804.919999999998</v>
      </c>
      <c r="J80" s="533">
        <f t="shared" ref="J80:J82" si="7">H80+I80-G80</f>
        <v>-199641.19999999995</v>
      </c>
      <c r="K80" s="986">
        <f t="shared" ref="K80:K82" si="8">H80-G80</f>
        <v>-219446.11999999997</v>
      </c>
      <c r="L80" s="71"/>
      <c r="M80" s="71"/>
    </row>
    <row r="81" spans="1:20">
      <c r="A81" s="71"/>
      <c r="B81" s="65"/>
      <c r="C81" s="73"/>
      <c r="D81" s="71"/>
      <c r="E81" s="415"/>
      <c r="F81" t="s">
        <v>1441</v>
      </c>
      <c r="G81" s="533">
        <v>131552.60999999999</v>
      </c>
      <c r="H81" s="981">
        <v>59743.43</v>
      </c>
      <c r="I81" s="533">
        <v>170301</v>
      </c>
      <c r="J81" s="533">
        <f t="shared" si="7"/>
        <v>98491.82</v>
      </c>
      <c r="K81" s="986">
        <f t="shared" si="8"/>
        <v>-71809.179999999993</v>
      </c>
      <c r="L81" s="986"/>
      <c r="M81" s="71"/>
    </row>
    <row r="82" spans="1:20">
      <c r="A82" s="71"/>
      <c r="B82" s="65"/>
      <c r="C82" s="73"/>
      <c r="D82" s="71"/>
      <c r="E82" s="415"/>
      <c r="F82" t="s">
        <v>1442</v>
      </c>
      <c r="G82" s="533">
        <v>100075</v>
      </c>
      <c r="H82" s="533">
        <v>64750</v>
      </c>
      <c r="I82" s="533">
        <v>90641</v>
      </c>
      <c r="J82" s="818">
        <f t="shared" si="7"/>
        <v>55316</v>
      </c>
      <c r="K82" s="986">
        <f t="shared" si="8"/>
        <v>-35325</v>
      </c>
      <c r="L82" s="71"/>
      <c r="M82" s="71"/>
    </row>
    <row r="83" spans="1:20">
      <c r="A83" s="71"/>
      <c r="B83" s="65"/>
      <c r="C83" s="73"/>
      <c r="D83" s="71"/>
      <c r="E83" s="415"/>
      <c r="F83"/>
      <c r="G83" s="533"/>
      <c r="H83" s="533"/>
      <c r="I83"/>
      <c r="J83" s="405">
        <f>SUM(J79:J82)</f>
        <v>1194806.44</v>
      </c>
      <c r="K83" s="986">
        <f>(F13+F17+F18+G60)-H65</f>
        <v>-1175001.52</v>
      </c>
      <c r="L83" s="986">
        <f>J83+K83</f>
        <v>19804.919999999925</v>
      </c>
      <c r="M83" s="71"/>
    </row>
    <row r="84" spans="1:20">
      <c r="A84" s="71"/>
      <c r="B84" s="65"/>
      <c r="C84" s="73"/>
      <c r="D84" s="71"/>
      <c r="E84" s="415"/>
      <c r="F84" s="412"/>
      <c r="G84" s="108"/>
      <c r="H84" s="71"/>
      <c r="I84" s="71"/>
      <c r="J84" s="71"/>
      <c r="K84" s="71"/>
      <c r="L84" s="71"/>
      <c r="M84" s="71"/>
    </row>
    <row r="85" spans="1:20">
      <c r="A85" s="71" t="s">
        <v>98</v>
      </c>
      <c r="B85" s="65" t="s">
        <v>99</v>
      </c>
      <c r="C85" s="73"/>
      <c r="D85" s="71">
        <v>6040603</v>
      </c>
      <c r="E85" s="415"/>
      <c r="F85" s="412" t="s">
        <v>100</v>
      </c>
      <c r="G85" s="71"/>
      <c r="H85" s="65"/>
      <c r="I85" s="71"/>
      <c r="J85" s="506">
        <v>4371.09</v>
      </c>
    </row>
    <row r="86" spans="1:20">
      <c r="A86" s="512" t="s">
        <v>535</v>
      </c>
      <c r="B86" s="65" t="s">
        <v>537</v>
      </c>
      <c r="C86" s="73"/>
      <c r="D86" s="71">
        <v>6040603</v>
      </c>
      <c r="E86" s="415"/>
      <c r="F86" s="412" t="s">
        <v>100</v>
      </c>
      <c r="G86" s="71"/>
      <c r="H86" s="65"/>
      <c r="I86" s="71"/>
      <c r="J86" s="506">
        <v>1096.8900000000001</v>
      </c>
    </row>
    <row r="87" spans="1:20">
      <c r="A87" s="512" t="s">
        <v>536</v>
      </c>
      <c r="B87" s="65" t="s">
        <v>538</v>
      </c>
      <c r="C87" s="73"/>
      <c r="D87" s="71">
        <v>6040603</v>
      </c>
      <c r="E87" s="415"/>
      <c r="F87" s="412" t="s">
        <v>100</v>
      </c>
      <c r="G87" s="71"/>
      <c r="H87" s="65"/>
      <c r="I87" s="71"/>
      <c r="J87" s="506">
        <v>2559.36</v>
      </c>
    </row>
    <row r="88" spans="1:20">
      <c r="A88" s="71" t="s">
        <v>102</v>
      </c>
      <c r="B88" s="65" t="s">
        <v>103</v>
      </c>
      <c r="C88" s="73"/>
      <c r="D88" s="71">
        <v>6040604</v>
      </c>
      <c r="E88" s="415"/>
      <c r="F88" s="412" t="s">
        <v>104</v>
      </c>
      <c r="G88" s="71"/>
      <c r="H88" s="65"/>
      <c r="I88" s="986"/>
      <c r="J88" s="119">
        <v>54613.440000000002</v>
      </c>
      <c r="N88" s="71"/>
      <c r="O88" s="71"/>
      <c r="P88" s="71"/>
      <c r="Q88" s="71"/>
      <c r="R88" s="71"/>
      <c r="S88" s="71"/>
      <c r="T88" s="71"/>
    </row>
    <row r="89" spans="1:20" ht="16.5" thickBot="1">
      <c r="D89" s="85"/>
      <c r="E89" s="92"/>
      <c r="H89" s="124"/>
      <c r="J89" s="125">
        <f>SUM(J85:J88)</f>
        <v>62640.78</v>
      </c>
    </row>
    <row r="90" spans="1:20" ht="16.5" thickTop="1">
      <c r="D90" s="85"/>
      <c r="E90" s="92"/>
    </row>
    <row r="91" spans="1:20">
      <c r="L91" s="126"/>
    </row>
    <row r="92" spans="1:20">
      <c r="L92" s="126"/>
    </row>
    <row r="93" spans="1:20">
      <c r="A93" s="71"/>
      <c r="B93" s="71" t="s">
        <v>105</v>
      </c>
      <c r="C93" s="415"/>
      <c r="D93" s="71" t="s">
        <v>106</v>
      </c>
      <c r="E93" s="415"/>
      <c r="F93" s="412" t="s">
        <v>107</v>
      </c>
      <c r="G93" s="71" t="s">
        <v>51</v>
      </c>
      <c r="H93" s="71"/>
    </row>
    <row r="94" spans="1:20">
      <c r="A94" s="71" t="s">
        <v>108</v>
      </c>
      <c r="B94" s="71"/>
      <c r="C94" s="415"/>
      <c r="D94" s="71"/>
      <c r="E94" s="415"/>
      <c r="F94" s="412"/>
      <c r="G94" s="71"/>
      <c r="H94" s="71"/>
    </row>
    <row r="95" spans="1:20">
      <c r="A95" s="71" t="s">
        <v>109</v>
      </c>
      <c r="B95" s="319">
        <v>58500</v>
      </c>
      <c r="C95" s="510"/>
      <c r="D95" s="319">
        <v>840239.68</v>
      </c>
      <c r="E95" s="510"/>
      <c r="F95" s="788">
        <v>35881.609999999986</v>
      </c>
      <c r="G95" s="319">
        <f>SUM(B95:F95)</f>
        <v>934621.29</v>
      </c>
      <c r="H95" s="65"/>
      <c r="J95" s="127"/>
      <c r="K95" s="127"/>
    </row>
    <row r="96" spans="1:20">
      <c r="A96" s="71" t="s">
        <v>110</v>
      </c>
      <c r="B96" s="319"/>
      <c r="C96" s="510"/>
      <c r="D96" s="319"/>
      <c r="E96" s="510"/>
      <c r="F96" s="788">
        <v>22470.1</v>
      </c>
      <c r="G96" s="319">
        <f>SUM(B96:F96)</f>
        <v>22470.1</v>
      </c>
      <c r="H96" s="65"/>
      <c r="J96" s="127"/>
      <c r="K96" s="127"/>
    </row>
    <row r="97" spans="1:11">
      <c r="A97" s="71" t="s">
        <v>111</v>
      </c>
      <c r="B97" s="319"/>
      <c r="C97" s="510"/>
      <c r="D97" s="319"/>
      <c r="E97" s="510"/>
      <c r="F97" s="788"/>
      <c r="G97" s="319">
        <f>SUM(D97:F97)</f>
        <v>0</v>
      </c>
      <c r="H97" s="65"/>
      <c r="K97" s="127"/>
    </row>
    <row r="98" spans="1:11">
      <c r="A98" s="71" t="s">
        <v>112</v>
      </c>
      <c r="B98" s="319"/>
      <c r="C98" s="510"/>
      <c r="D98" s="319"/>
      <c r="E98" s="510"/>
      <c r="F98" s="788"/>
      <c r="G98" s="319">
        <f>SUM(D98:F98)</f>
        <v>0</v>
      </c>
      <c r="H98" s="65">
        <f>F95+F98</f>
        <v>35881.609999999986</v>
      </c>
      <c r="J98" s="127"/>
      <c r="K98" s="127"/>
    </row>
    <row r="99" spans="1:11" ht="16.5" thickBot="1">
      <c r="A99" s="71" t="s">
        <v>113</v>
      </c>
      <c r="B99" s="508">
        <f>SUM(B95:B98)</f>
        <v>58500</v>
      </c>
      <c r="C99" s="510"/>
      <c r="D99" s="508">
        <f>SUM(D95:D98)</f>
        <v>840239.68</v>
      </c>
      <c r="E99" s="510"/>
      <c r="F99" s="789">
        <f>SUM(F95:F98)</f>
        <v>58351.709999999985</v>
      </c>
      <c r="G99" s="508">
        <f>SUM(G95:G98)</f>
        <v>957091.39</v>
      </c>
      <c r="H99" s="65"/>
      <c r="K99" s="127"/>
    </row>
    <row r="100" spans="1:11">
      <c r="A100" s="71"/>
      <c r="B100" s="319"/>
      <c r="C100" s="510"/>
      <c r="D100" s="319"/>
      <c r="E100" s="510"/>
      <c r="F100" s="788"/>
      <c r="G100" s="319"/>
      <c r="H100" s="65"/>
      <c r="K100" s="127"/>
    </row>
    <row r="101" spans="1:11">
      <c r="A101" s="71" t="s">
        <v>114</v>
      </c>
      <c r="B101" s="319"/>
      <c r="C101" s="510"/>
      <c r="D101" s="319"/>
      <c r="E101" s="510"/>
      <c r="F101" s="788"/>
      <c r="G101" s="319"/>
      <c r="H101" s="65"/>
      <c r="K101" s="127"/>
    </row>
    <row r="102" spans="1:11">
      <c r="A102" s="71" t="s">
        <v>115</v>
      </c>
      <c r="B102" s="319"/>
      <c r="C102" s="510"/>
      <c r="D102" s="319">
        <v>4250</v>
      </c>
      <c r="E102" s="510"/>
      <c r="F102" s="788">
        <v>71723</v>
      </c>
      <c r="G102" s="319">
        <f>SUM(D102:F102)</f>
        <v>75973</v>
      </c>
      <c r="H102" s="65"/>
      <c r="K102" s="127"/>
    </row>
    <row r="103" spans="1:11">
      <c r="A103" s="71" t="s">
        <v>116</v>
      </c>
      <c r="B103" s="319">
        <f>J86+J87</f>
        <v>3656.25</v>
      </c>
      <c r="C103" s="510"/>
      <c r="D103" s="319"/>
      <c r="E103" s="510"/>
      <c r="F103" s="788">
        <f>J85</f>
        <v>4371.09</v>
      </c>
      <c r="G103" s="319">
        <f>SUM(B103:F103)</f>
        <v>8027.34</v>
      </c>
      <c r="H103" s="65"/>
      <c r="K103" s="127"/>
    </row>
    <row r="104" spans="1:11">
      <c r="A104" s="71" t="s">
        <v>112</v>
      </c>
      <c r="B104" s="319"/>
      <c r="C104" s="510"/>
      <c r="D104" s="319">
        <v>-4250</v>
      </c>
      <c r="E104" s="510"/>
      <c r="F104" s="788">
        <v>-81834</v>
      </c>
      <c r="G104" s="319">
        <f>SUM(D104:F104)-1</f>
        <v>-86085</v>
      </c>
      <c r="H104" s="65"/>
      <c r="K104" s="127"/>
    </row>
    <row r="105" spans="1:11">
      <c r="A105" s="71" t="s">
        <v>111</v>
      </c>
      <c r="B105" s="319"/>
      <c r="C105" s="510"/>
      <c r="D105" s="319">
        <v>811010</v>
      </c>
      <c r="E105" s="510"/>
      <c r="F105" s="788">
        <v>0</v>
      </c>
      <c r="G105" s="319">
        <f>SUM(D105:F105)</f>
        <v>811010</v>
      </c>
      <c r="H105" s="65"/>
      <c r="K105" s="127"/>
    </row>
    <row r="106" spans="1:11">
      <c r="A106" s="71" t="s">
        <v>117</v>
      </c>
      <c r="B106" s="507">
        <f>SUM(B102:B105)</f>
        <v>3656.25</v>
      </c>
      <c r="C106" s="510"/>
      <c r="D106" s="507">
        <f>SUM(D102:D105)</f>
        <v>811010</v>
      </c>
      <c r="E106" s="510"/>
      <c r="F106" s="790">
        <f>SUM(F102:F105)</f>
        <v>-5739.9100000000035</v>
      </c>
      <c r="G106" s="507">
        <f>SUM(G102:G105)</f>
        <v>808925.34</v>
      </c>
      <c r="H106" s="65"/>
      <c r="K106" s="127"/>
    </row>
    <row r="107" spans="1:11">
      <c r="A107" s="71"/>
      <c r="B107" s="319"/>
      <c r="C107" s="510"/>
      <c r="D107" s="319"/>
      <c r="E107" s="510"/>
      <c r="F107" s="788"/>
      <c r="G107" s="319"/>
      <c r="H107" s="65"/>
      <c r="K107" s="127"/>
    </row>
    <row r="108" spans="1:11" ht="16.5" thickBot="1">
      <c r="A108" s="71" t="s">
        <v>118</v>
      </c>
      <c r="B108" s="508">
        <f>+B99-B106</f>
        <v>54843.75</v>
      </c>
      <c r="C108" s="510"/>
      <c r="D108" s="508">
        <f>+D99-D106</f>
        <v>29229.680000000051</v>
      </c>
      <c r="E108" s="510"/>
      <c r="F108" s="789">
        <f>+F99-F106</f>
        <v>64091.619999999988</v>
      </c>
      <c r="G108" s="508">
        <f>+G99-G106</f>
        <v>148166.05000000005</v>
      </c>
      <c r="H108" s="65">
        <v>110682.20999999985</v>
      </c>
      <c r="K108" s="127"/>
    </row>
    <row r="109" spans="1:11">
      <c r="A109" s="71"/>
      <c r="B109" s="71"/>
      <c r="C109" s="415"/>
      <c r="D109" s="71"/>
      <c r="E109" s="415"/>
      <c r="F109" s="412"/>
      <c r="G109" s="71"/>
      <c r="H109" s="71"/>
      <c r="I109" s="71"/>
      <c r="K109" s="127"/>
    </row>
    <row r="110" spans="1:11">
      <c r="A110" s="85" t="s">
        <v>119</v>
      </c>
      <c r="B110" s="85" t="s">
        <v>120</v>
      </c>
      <c r="C110" s="92"/>
      <c r="D110" s="85">
        <v>20308</v>
      </c>
      <c r="E110" s="92"/>
      <c r="F110" s="413" t="s">
        <v>121</v>
      </c>
      <c r="G110" s="509">
        <v>-39749.65</v>
      </c>
      <c r="H110" s="127">
        <v>86892.64</v>
      </c>
      <c r="I110" s="127">
        <f>H110+G110</f>
        <v>47142.99</v>
      </c>
      <c r="J110" s="127"/>
      <c r="K110" s="127"/>
    </row>
    <row r="111" spans="1:11">
      <c r="A111" s="85" t="s">
        <v>122</v>
      </c>
      <c r="B111" s="124" t="s">
        <v>123</v>
      </c>
      <c r="D111" s="85">
        <v>1070104</v>
      </c>
      <c r="E111" s="92"/>
      <c r="F111" s="413" t="s">
        <v>124</v>
      </c>
      <c r="G111" s="509">
        <v>58500</v>
      </c>
    </row>
    <row r="112" spans="1:11">
      <c r="G112" s="509">
        <f>SUM(G110:G111)</f>
        <v>18750.349999999999</v>
      </c>
    </row>
    <row r="114" spans="1:12" ht="16.5" thickBot="1">
      <c r="A114" s="71" t="s">
        <v>92</v>
      </c>
    </row>
    <row r="115" spans="1:12" ht="27" thickTop="1" thickBot="1">
      <c r="A115" s="128" t="s">
        <v>125</v>
      </c>
      <c r="B115" s="129" t="s">
        <v>126</v>
      </c>
      <c r="C115" s="414"/>
      <c r="D115" s="129"/>
      <c r="E115" s="414"/>
      <c r="F115" s="408"/>
      <c r="G115" s="129" t="s">
        <v>127</v>
      </c>
      <c r="H115" s="129" t="s">
        <v>128</v>
      </c>
      <c r="I115" s="129"/>
      <c r="J115" s="129"/>
      <c r="K115" s="129"/>
      <c r="L115" s="130"/>
    </row>
    <row r="116" spans="1:12" ht="16.5" thickTop="1">
      <c r="A116" s="123" t="s">
        <v>129</v>
      </c>
      <c r="B116" s="131" t="s">
        <v>130</v>
      </c>
      <c r="C116" s="417"/>
      <c r="D116" s="131"/>
      <c r="E116" s="417"/>
      <c r="F116" s="412"/>
      <c r="G116" s="133">
        <v>5030108</v>
      </c>
      <c r="H116" s="132" t="s">
        <v>131</v>
      </c>
      <c r="I116" s="132"/>
      <c r="J116" s="132"/>
      <c r="K116" s="132"/>
      <c r="L116" s="511">
        <v>88401.21</v>
      </c>
    </row>
    <row r="117" spans="1:12">
      <c r="A117" s="123" t="s">
        <v>132</v>
      </c>
      <c r="B117" s="131" t="s">
        <v>133</v>
      </c>
      <c r="C117" s="417"/>
      <c r="D117" s="131"/>
      <c r="E117" s="417"/>
      <c r="F117" s="412"/>
      <c r="G117" s="133">
        <v>5030102</v>
      </c>
      <c r="H117" s="132" t="s">
        <v>134</v>
      </c>
      <c r="I117" s="132"/>
      <c r="J117" s="132"/>
      <c r="K117" s="132"/>
      <c r="L117" s="511">
        <v>-23566.11</v>
      </c>
    </row>
    <row r="118" spans="1:12" ht="16.5" thickBot="1"/>
    <row r="119" spans="1:12" ht="27" thickTop="1" thickBot="1">
      <c r="A119" s="128" t="s">
        <v>125</v>
      </c>
      <c r="B119" s="129" t="s">
        <v>126</v>
      </c>
      <c r="C119" s="414"/>
      <c r="G119" s="129" t="s">
        <v>127</v>
      </c>
      <c r="H119" s="129" t="s">
        <v>128</v>
      </c>
      <c r="L119" s="130">
        <v>43100</v>
      </c>
    </row>
    <row r="120" spans="1:12" ht="16.5" thickTop="1">
      <c r="A120" s="123" t="s">
        <v>135</v>
      </c>
      <c r="B120" s="131" t="s">
        <v>136</v>
      </c>
      <c r="C120" s="417"/>
      <c r="G120" s="133">
        <v>5030403</v>
      </c>
      <c r="H120" s="134" t="s">
        <v>137</v>
      </c>
      <c r="L120" s="511">
        <v>0</v>
      </c>
    </row>
    <row r="124" spans="1:12">
      <c r="B124" s="94" t="s">
        <v>749</v>
      </c>
      <c r="C124" s="94"/>
      <c r="D124" s="94" t="s">
        <v>70</v>
      </c>
      <c r="F124" s="413" t="s">
        <v>69</v>
      </c>
    </row>
    <row r="125" spans="1:12">
      <c r="B125" s="402">
        <v>2017</v>
      </c>
      <c r="C125" s="402"/>
      <c r="D125" s="402">
        <v>2016</v>
      </c>
    </row>
    <row r="126" spans="1:12">
      <c r="A126" s="132" t="s">
        <v>750</v>
      </c>
      <c r="B126" s="740">
        <f>'[14]BPRUEBA VAL BANIST'!$E$23+'[14]BPRUEBA VAL BANIST'!$E$24</f>
        <v>50384.62</v>
      </c>
      <c r="C126" s="85"/>
      <c r="D126" s="127">
        <f>[15]BPRUEBAVB!$E$19+[15]BPRUEBAVB!$E$20</f>
        <v>7824.8600000000006</v>
      </c>
      <c r="F126" s="740">
        <f>B126-D126</f>
        <v>42559.76</v>
      </c>
    </row>
    <row r="127" spans="1:12">
      <c r="A127" s="132"/>
      <c r="B127" s="739"/>
    </row>
    <row r="129" spans="6:10">
      <c r="F129" s="413" t="s">
        <v>803</v>
      </c>
      <c r="G129" s="85" t="s">
        <v>804</v>
      </c>
      <c r="H129" s="85">
        <v>5010201</v>
      </c>
      <c r="I129" s="85" t="s">
        <v>805</v>
      </c>
      <c r="J129" s="800">
        <v>0</v>
      </c>
    </row>
    <row r="130" spans="6:10">
      <c r="F130" s="413" t="s">
        <v>848</v>
      </c>
      <c r="G130" s="85" t="s">
        <v>849</v>
      </c>
      <c r="H130" s="85">
        <v>501030102</v>
      </c>
      <c r="I130" s="85" t="s">
        <v>811</v>
      </c>
      <c r="J130" s="800">
        <v>-2585.4</v>
      </c>
    </row>
    <row r="131" spans="6:10">
      <c r="F131" s="413" t="s">
        <v>806</v>
      </c>
      <c r="G131" s="85" t="s">
        <v>807</v>
      </c>
      <c r="H131" s="85">
        <v>5010202</v>
      </c>
      <c r="I131" s="85" t="s">
        <v>808</v>
      </c>
      <c r="J131" s="800">
        <v>-64199.979999999996</v>
      </c>
    </row>
    <row r="132" spans="6:10">
      <c r="F132" s="413" t="s">
        <v>809</v>
      </c>
      <c r="G132" s="85" t="s">
        <v>810</v>
      </c>
      <c r="H132" s="85">
        <v>5010201</v>
      </c>
      <c r="I132" s="85" t="s">
        <v>805</v>
      </c>
      <c r="J132" s="800">
        <v>-396.43</v>
      </c>
    </row>
    <row r="133" spans="6:10">
      <c r="F133" s="413" t="s">
        <v>725</v>
      </c>
      <c r="G133" s="85" t="s">
        <v>726</v>
      </c>
      <c r="H133" s="85">
        <v>501030102</v>
      </c>
      <c r="I133" s="85" t="s">
        <v>811</v>
      </c>
      <c r="J133" s="801">
        <v>-98340.2</v>
      </c>
    </row>
    <row r="134" spans="6:10">
      <c r="F134" s="413" t="s">
        <v>1231</v>
      </c>
      <c r="G134" s="85" t="s">
        <v>1232</v>
      </c>
      <c r="H134" s="85">
        <v>501030102</v>
      </c>
      <c r="I134" s="85" t="s">
        <v>811</v>
      </c>
      <c r="J134" s="801">
        <v>-9520.16</v>
      </c>
    </row>
    <row r="135" spans="6:10">
      <c r="F135" s="413" t="s">
        <v>793</v>
      </c>
      <c r="G135" s="85" t="s">
        <v>794</v>
      </c>
      <c r="H135" s="85">
        <v>501030102</v>
      </c>
      <c r="I135" s="85" t="s">
        <v>811</v>
      </c>
      <c r="J135" s="801">
        <v>2537.4299999999998</v>
      </c>
    </row>
    <row r="136" spans="6:10">
      <c r="F136" s="413" t="s">
        <v>727</v>
      </c>
      <c r="G136" s="85" t="s">
        <v>728</v>
      </c>
      <c r="H136" s="85">
        <v>501030102</v>
      </c>
      <c r="I136" s="85" t="s">
        <v>811</v>
      </c>
      <c r="J136" s="801">
        <v>17267.490000000002</v>
      </c>
    </row>
    <row r="137" spans="6:10">
      <c r="F137" s="413" t="s">
        <v>812</v>
      </c>
      <c r="G137" s="85" t="s">
        <v>813</v>
      </c>
      <c r="H137" s="85">
        <v>5010201</v>
      </c>
      <c r="I137" s="85" t="s">
        <v>805</v>
      </c>
      <c r="J137" s="800">
        <v>-86032.47</v>
      </c>
    </row>
    <row r="138" spans="6:10">
      <c r="F138" s="413" t="s">
        <v>814</v>
      </c>
      <c r="G138" s="85" t="s">
        <v>815</v>
      </c>
      <c r="H138" s="85">
        <v>5010201</v>
      </c>
      <c r="I138" s="85" t="s">
        <v>805</v>
      </c>
      <c r="J138" s="800">
        <v>0</v>
      </c>
    </row>
    <row r="139" spans="6:10">
      <c r="F139" s="413" t="s">
        <v>816</v>
      </c>
      <c r="G139" s="85" t="s">
        <v>817</v>
      </c>
      <c r="H139" s="85">
        <v>5010202</v>
      </c>
      <c r="I139" s="85" t="s">
        <v>808</v>
      </c>
      <c r="J139" s="127">
        <v>0</v>
      </c>
    </row>
    <row r="140" spans="6:10">
      <c r="F140" s="413" t="s">
        <v>818</v>
      </c>
      <c r="G140" s="85" t="s">
        <v>819</v>
      </c>
      <c r="H140" s="85">
        <v>5010202</v>
      </c>
      <c r="I140" s="85" t="s">
        <v>808</v>
      </c>
      <c r="J140" s="800">
        <v>-19364.29</v>
      </c>
    </row>
    <row r="142" spans="6:10">
      <c r="F142" s="413" t="s">
        <v>733</v>
      </c>
      <c r="G142" s="85" t="s">
        <v>734</v>
      </c>
      <c r="H142" s="85">
        <v>1030102</v>
      </c>
      <c r="I142" s="85" t="s">
        <v>821</v>
      </c>
      <c r="J142" s="127">
        <v>377043.5</v>
      </c>
    </row>
    <row r="143" spans="6:10">
      <c r="F143" s="413" t="s">
        <v>795</v>
      </c>
      <c r="G143" s="85" t="s">
        <v>794</v>
      </c>
      <c r="H143" s="85">
        <v>1030102</v>
      </c>
      <c r="I143" s="85" t="s">
        <v>821</v>
      </c>
      <c r="J143" s="802">
        <v>18843.099999999999</v>
      </c>
    </row>
    <row r="144" spans="6:10">
      <c r="J144" s="127">
        <f>SUM(J142:J143)</f>
        <v>395886.6</v>
      </c>
    </row>
    <row r="146" spans="7:10">
      <c r="G146" s="85" t="s">
        <v>734</v>
      </c>
      <c r="H146" s="85">
        <v>1030102</v>
      </c>
      <c r="I146" s="85" t="s">
        <v>821</v>
      </c>
      <c r="J146" s="127">
        <v>13317.46</v>
      </c>
    </row>
    <row r="147" spans="7:10">
      <c r="G147" s="85" t="s">
        <v>729</v>
      </c>
      <c r="H147" s="85">
        <v>1081102</v>
      </c>
      <c r="I147" s="85" t="s">
        <v>750</v>
      </c>
      <c r="J147" s="127">
        <v>18409.72</v>
      </c>
    </row>
    <row r="148" spans="7:10">
      <c r="G148" s="85" t="s">
        <v>731</v>
      </c>
      <c r="H148" s="85">
        <v>1081102</v>
      </c>
      <c r="I148" s="85" t="s">
        <v>750</v>
      </c>
      <c r="J148" s="127">
        <v>113142.89</v>
      </c>
    </row>
    <row r="163" spans="9:9">
      <c r="I163" s="85" t="s">
        <v>856</v>
      </c>
    </row>
    <row r="164" spans="9:9">
      <c r="I164" s="127">
        <v>0</v>
      </c>
    </row>
    <row r="165" spans="9:9">
      <c r="I165" s="802">
        <v>0</v>
      </c>
    </row>
    <row r="166" spans="9:9">
      <c r="I166" s="127">
        <f>SUM(I164:I165)</f>
        <v>0</v>
      </c>
    </row>
    <row r="168" spans="9:9">
      <c r="I168" s="127">
        <v>411548.55</v>
      </c>
    </row>
    <row r="185" spans="8:13">
      <c r="H185" s="413"/>
      <c r="L185" s="938">
        <v>2018</v>
      </c>
      <c r="M185" s="938">
        <v>2017</v>
      </c>
    </row>
    <row r="186" spans="8:13">
      <c r="H186" s="739" t="s">
        <v>1233</v>
      </c>
      <c r="I186" s="739" t="s">
        <v>1234</v>
      </c>
      <c r="J186" s="133">
        <v>1081003</v>
      </c>
      <c r="K186" s="134" t="s">
        <v>1235</v>
      </c>
      <c r="L186" s="936">
        <v>6024.27</v>
      </c>
      <c r="M186" s="105">
        <v>4146.3999999999996</v>
      </c>
    </row>
    <row r="187" spans="8:13">
      <c r="H187" s="739" t="s">
        <v>1236</v>
      </c>
      <c r="I187" s="739" t="s">
        <v>1237</v>
      </c>
      <c r="J187" s="133">
        <v>1081003</v>
      </c>
      <c r="K187" s="134" t="s">
        <v>1235</v>
      </c>
      <c r="L187" s="936">
        <v>49151.19</v>
      </c>
      <c r="M187" s="105">
        <v>73594.36</v>
      </c>
    </row>
    <row r="188" spans="8:13">
      <c r="H188" s="739" t="s">
        <v>1238</v>
      </c>
      <c r="I188" s="739" t="s">
        <v>1239</v>
      </c>
      <c r="J188" s="133">
        <v>1081003</v>
      </c>
      <c r="K188" s="134" t="s">
        <v>1235</v>
      </c>
      <c r="L188" s="291">
        <v>190745.58</v>
      </c>
      <c r="M188" s="105">
        <v>179253.1</v>
      </c>
    </row>
    <row r="189" spans="8:13">
      <c r="H189" s="739" t="s">
        <v>1240</v>
      </c>
      <c r="I189" s="739" t="s">
        <v>1241</v>
      </c>
      <c r="J189" s="133">
        <v>1081003</v>
      </c>
      <c r="K189" s="134" t="s">
        <v>1235</v>
      </c>
      <c r="L189" s="937">
        <v>2034</v>
      </c>
      <c r="M189" s="802">
        <v>3303</v>
      </c>
    </row>
    <row r="190" spans="8:13">
      <c r="H190" s="413"/>
      <c r="L190" s="127">
        <f>SUM(L186:L189)</f>
        <v>247955.03999999998</v>
      </c>
      <c r="M190" s="127">
        <f>SUM(M186:M189)</f>
        <v>260296.86</v>
      </c>
    </row>
  </sheetData>
  <mergeCells count="1">
    <mergeCell ref="G4:H4"/>
  </mergeCells>
  <pageMargins left="0.70866141732283472" right="0.70866141732283472" top="0.74803149606299213" bottom="0.74803149606299213" header="0.31496062992125984" footer="0.31496062992125984"/>
  <pageSetup scale="17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52"/>
  <sheetViews>
    <sheetView showGridLines="0" zoomScale="75" zoomScaleNormal="75" workbookViewId="0">
      <selection activeCell="Q49" sqref="Q49"/>
    </sheetView>
  </sheetViews>
  <sheetFormatPr baseColWidth="10" defaultColWidth="10.28515625" defaultRowHeight="15"/>
  <cols>
    <col min="1" max="1" width="66.42578125" style="439" customWidth="1"/>
    <col min="2" max="2" width="16.85546875" style="439" hidden="1" customWidth="1"/>
    <col min="3" max="3" width="3.7109375" style="439" hidden="1" customWidth="1"/>
    <col min="4" max="4" width="15.28515625" style="439" hidden="1" customWidth="1"/>
    <col min="5" max="5" width="4" style="439" customWidth="1"/>
    <col min="6" max="6" width="16.140625" style="439" customWidth="1"/>
    <col min="7" max="7" width="3" style="439" customWidth="1"/>
    <col min="8" max="8" width="15.42578125" style="439" customWidth="1"/>
    <col min="9" max="9" width="5.5703125" style="439" customWidth="1"/>
    <col min="10" max="10" width="14.5703125" style="439" hidden="1" customWidth="1"/>
    <col min="11" max="11" width="3.42578125" style="439" hidden="1" customWidth="1"/>
    <col min="12" max="12" width="14.42578125" style="439" hidden="1" customWidth="1"/>
    <col min="13" max="13" width="3.28515625" style="439" hidden="1" customWidth="1"/>
    <col min="14" max="14" width="14.85546875" style="439" hidden="1" customWidth="1"/>
    <col min="15" max="15" width="2.85546875" style="439" hidden="1" customWidth="1"/>
    <col min="16" max="16" width="14.85546875" style="439" hidden="1" customWidth="1"/>
    <col min="17" max="17" width="14.85546875" style="439" bestFit="1" customWidth="1"/>
    <col min="18" max="18" width="14" style="439" bestFit="1" customWidth="1"/>
    <col min="19" max="20" width="11.5703125" style="439" bestFit="1" customWidth="1"/>
    <col min="21" max="256" width="10.28515625" style="439"/>
    <col min="257" max="257" width="66.42578125" style="439" customWidth="1"/>
    <col min="258" max="260" width="0" style="439" hidden="1" customWidth="1"/>
    <col min="261" max="261" width="4" style="439" customWidth="1"/>
    <col min="262" max="262" width="16.140625" style="439" customWidth="1"/>
    <col min="263" max="263" width="3" style="439" customWidth="1"/>
    <col min="264" max="264" width="15.42578125" style="439" customWidth="1"/>
    <col min="265" max="265" width="5.5703125" style="439" customWidth="1"/>
    <col min="266" max="272" width="0" style="439" hidden="1" customWidth="1"/>
    <col min="273" max="273" width="14.85546875" style="439" bestFit="1" customWidth="1"/>
    <col min="274" max="274" width="14" style="439" bestFit="1" customWidth="1"/>
    <col min="275" max="276" width="11.5703125" style="439" bestFit="1" customWidth="1"/>
    <col min="277" max="512" width="10.28515625" style="439"/>
    <col min="513" max="513" width="66.42578125" style="439" customWidth="1"/>
    <col min="514" max="516" width="0" style="439" hidden="1" customWidth="1"/>
    <col min="517" max="517" width="4" style="439" customWidth="1"/>
    <col min="518" max="518" width="16.140625" style="439" customWidth="1"/>
    <col min="519" max="519" width="3" style="439" customWidth="1"/>
    <col min="520" max="520" width="15.42578125" style="439" customWidth="1"/>
    <col min="521" max="521" width="5.5703125" style="439" customWidth="1"/>
    <col min="522" max="528" width="0" style="439" hidden="1" customWidth="1"/>
    <col min="529" max="529" width="14.85546875" style="439" bestFit="1" customWidth="1"/>
    <col min="530" max="530" width="14" style="439" bestFit="1" customWidth="1"/>
    <col min="531" max="532" width="11.5703125" style="439" bestFit="1" customWidth="1"/>
    <col min="533" max="768" width="10.28515625" style="439"/>
    <col min="769" max="769" width="66.42578125" style="439" customWidth="1"/>
    <col min="770" max="772" width="0" style="439" hidden="1" customWidth="1"/>
    <col min="773" max="773" width="4" style="439" customWidth="1"/>
    <col min="774" max="774" width="16.140625" style="439" customWidth="1"/>
    <col min="775" max="775" width="3" style="439" customWidth="1"/>
    <col min="776" max="776" width="15.42578125" style="439" customWidth="1"/>
    <col min="777" max="777" width="5.5703125" style="439" customWidth="1"/>
    <col min="778" max="784" width="0" style="439" hidden="1" customWidth="1"/>
    <col min="785" max="785" width="14.85546875" style="439" bestFit="1" customWidth="1"/>
    <col min="786" max="786" width="14" style="439" bestFit="1" customWidth="1"/>
    <col min="787" max="788" width="11.5703125" style="439" bestFit="1" customWidth="1"/>
    <col min="789" max="1024" width="10.28515625" style="439"/>
    <col min="1025" max="1025" width="66.42578125" style="439" customWidth="1"/>
    <col min="1026" max="1028" width="0" style="439" hidden="1" customWidth="1"/>
    <col min="1029" max="1029" width="4" style="439" customWidth="1"/>
    <col min="1030" max="1030" width="16.140625" style="439" customWidth="1"/>
    <col min="1031" max="1031" width="3" style="439" customWidth="1"/>
    <col min="1032" max="1032" width="15.42578125" style="439" customWidth="1"/>
    <col min="1033" max="1033" width="5.5703125" style="439" customWidth="1"/>
    <col min="1034" max="1040" width="0" style="439" hidden="1" customWidth="1"/>
    <col min="1041" max="1041" width="14.85546875" style="439" bestFit="1" customWidth="1"/>
    <col min="1042" max="1042" width="14" style="439" bestFit="1" customWidth="1"/>
    <col min="1043" max="1044" width="11.5703125" style="439" bestFit="1" customWidth="1"/>
    <col min="1045" max="1280" width="10.28515625" style="439"/>
    <col min="1281" max="1281" width="66.42578125" style="439" customWidth="1"/>
    <col min="1282" max="1284" width="0" style="439" hidden="1" customWidth="1"/>
    <col min="1285" max="1285" width="4" style="439" customWidth="1"/>
    <col min="1286" max="1286" width="16.140625" style="439" customWidth="1"/>
    <col min="1287" max="1287" width="3" style="439" customWidth="1"/>
    <col min="1288" max="1288" width="15.42578125" style="439" customWidth="1"/>
    <col min="1289" max="1289" width="5.5703125" style="439" customWidth="1"/>
    <col min="1290" max="1296" width="0" style="439" hidden="1" customWidth="1"/>
    <col min="1297" max="1297" width="14.85546875" style="439" bestFit="1" customWidth="1"/>
    <col min="1298" max="1298" width="14" style="439" bestFit="1" customWidth="1"/>
    <col min="1299" max="1300" width="11.5703125" style="439" bestFit="1" customWidth="1"/>
    <col min="1301" max="1536" width="10.28515625" style="439"/>
    <col min="1537" max="1537" width="66.42578125" style="439" customWidth="1"/>
    <col min="1538" max="1540" width="0" style="439" hidden="1" customWidth="1"/>
    <col min="1541" max="1541" width="4" style="439" customWidth="1"/>
    <col min="1542" max="1542" width="16.140625" style="439" customWidth="1"/>
    <col min="1543" max="1543" width="3" style="439" customWidth="1"/>
    <col min="1544" max="1544" width="15.42578125" style="439" customWidth="1"/>
    <col min="1545" max="1545" width="5.5703125" style="439" customWidth="1"/>
    <col min="1546" max="1552" width="0" style="439" hidden="1" customWidth="1"/>
    <col min="1553" max="1553" width="14.85546875" style="439" bestFit="1" customWidth="1"/>
    <col min="1554" max="1554" width="14" style="439" bestFit="1" customWidth="1"/>
    <col min="1555" max="1556" width="11.5703125" style="439" bestFit="1" customWidth="1"/>
    <col min="1557" max="1792" width="10.28515625" style="439"/>
    <col min="1793" max="1793" width="66.42578125" style="439" customWidth="1"/>
    <col min="1794" max="1796" width="0" style="439" hidden="1" customWidth="1"/>
    <col min="1797" max="1797" width="4" style="439" customWidth="1"/>
    <col min="1798" max="1798" width="16.140625" style="439" customWidth="1"/>
    <col min="1799" max="1799" width="3" style="439" customWidth="1"/>
    <col min="1800" max="1800" width="15.42578125" style="439" customWidth="1"/>
    <col min="1801" max="1801" width="5.5703125" style="439" customWidth="1"/>
    <col min="1802" max="1808" width="0" style="439" hidden="1" customWidth="1"/>
    <col min="1809" max="1809" width="14.85546875" style="439" bestFit="1" customWidth="1"/>
    <col min="1810" max="1810" width="14" style="439" bestFit="1" customWidth="1"/>
    <col min="1811" max="1812" width="11.5703125" style="439" bestFit="1" customWidth="1"/>
    <col min="1813" max="2048" width="10.28515625" style="439"/>
    <col min="2049" max="2049" width="66.42578125" style="439" customWidth="1"/>
    <col min="2050" max="2052" width="0" style="439" hidden="1" customWidth="1"/>
    <col min="2053" max="2053" width="4" style="439" customWidth="1"/>
    <col min="2054" max="2054" width="16.140625" style="439" customWidth="1"/>
    <col min="2055" max="2055" width="3" style="439" customWidth="1"/>
    <col min="2056" max="2056" width="15.42578125" style="439" customWidth="1"/>
    <col min="2057" max="2057" width="5.5703125" style="439" customWidth="1"/>
    <col min="2058" max="2064" width="0" style="439" hidden="1" customWidth="1"/>
    <col min="2065" max="2065" width="14.85546875" style="439" bestFit="1" customWidth="1"/>
    <col min="2066" max="2066" width="14" style="439" bestFit="1" customWidth="1"/>
    <col min="2067" max="2068" width="11.5703125" style="439" bestFit="1" customWidth="1"/>
    <col min="2069" max="2304" width="10.28515625" style="439"/>
    <col min="2305" max="2305" width="66.42578125" style="439" customWidth="1"/>
    <col min="2306" max="2308" width="0" style="439" hidden="1" customWidth="1"/>
    <col min="2309" max="2309" width="4" style="439" customWidth="1"/>
    <col min="2310" max="2310" width="16.140625" style="439" customWidth="1"/>
    <col min="2311" max="2311" width="3" style="439" customWidth="1"/>
    <col min="2312" max="2312" width="15.42578125" style="439" customWidth="1"/>
    <col min="2313" max="2313" width="5.5703125" style="439" customWidth="1"/>
    <col min="2314" max="2320" width="0" style="439" hidden="1" customWidth="1"/>
    <col min="2321" max="2321" width="14.85546875" style="439" bestFit="1" customWidth="1"/>
    <col min="2322" max="2322" width="14" style="439" bestFit="1" customWidth="1"/>
    <col min="2323" max="2324" width="11.5703125" style="439" bestFit="1" customWidth="1"/>
    <col min="2325" max="2560" width="10.28515625" style="439"/>
    <col min="2561" max="2561" width="66.42578125" style="439" customWidth="1"/>
    <col min="2562" max="2564" width="0" style="439" hidden="1" customWidth="1"/>
    <col min="2565" max="2565" width="4" style="439" customWidth="1"/>
    <col min="2566" max="2566" width="16.140625" style="439" customWidth="1"/>
    <col min="2567" max="2567" width="3" style="439" customWidth="1"/>
    <col min="2568" max="2568" width="15.42578125" style="439" customWidth="1"/>
    <col min="2569" max="2569" width="5.5703125" style="439" customWidth="1"/>
    <col min="2570" max="2576" width="0" style="439" hidden="1" customWidth="1"/>
    <col min="2577" max="2577" width="14.85546875" style="439" bestFit="1" customWidth="1"/>
    <col min="2578" max="2578" width="14" style="439" bestFit="1" customWidth="1"/>
    <col min="2579" max="2580" width="11.5703125" style="439" bestFit="1" customWidth="1"/>
    <col min="2581" max="2816" width="10.28515625" style="439"/>
    <col min="2817" max="2817" width="66.42578125" style="439" customWidth="1"/>
    <col min="2818" max="2820" width="0" style="439" hidden="1" customWidth="1"/>
    <col min="2821" max="2821" width="4" style="439" customWidth="1"/>
    <col min="2822" max="2822" width="16.140625" style="439" customWidth="1"/>
    <col min="2823" max="2823" width="3" style="439" customWidth="1"/>
    <col min="2824" max="2824" width="15.42578125" style="439" customWidth="1"/>
    <col min="2825" max="2825" width="5.5703125" style="439" customWidth="1"/>
    <col min="2826" max="2832" width="0" style="439" hidden="1" customWidth="1"/>
    <col min="2833" max="2833" width="14.85546875" style="439" bestFit="1" customWidth="1"/>
    <col min="2834" max="2834" width="14" style="439" bestFit="1" customWidth="1"/>
    <col min="2835" max="2836" width="11.5703125" style="439" bestFit="1" customWidth="1"/>
    <col min="2837" max="3072" width="10.28515625" style="439"/>
    <col min="3073" max="3073" width="66.42578125" style="439" customWidth="1"/>
    <col min="3074" max="3076" width="0" style="439" hidden="1" customWidth="1"/>
    <col min="3077" max="3077" width="4" style="439" customWidth="1"/>
    <col min="3078" max="3078" width="16.140625" style="439" customWidth="1"/>
    <col min="3079" max="3079" width="3" style="439" customWidth="1"/>
    <col min="3080" max="3080" width="15.42578125" style="439" customWidth="1"/>
    <col min="3081" max="3081" width="5.5703125" style="439" customWidth="1"/>
    <col min="3082" max="3088" width="0" style="439" hidden="1" customWidth="1"/>
    <col min="3089" max="3089" width="14.85546875" style="439" bestFit="1" customWidth="1"/>
    <col min="3090" max="3090" width="14" style="439" bestFit="1" customWidth="1"/>
    <col min="3091" max="3092" width="11.5703125" style="439" bestFit="1" customWidth="1"/>
    <col min="3093" max="3328" width="10.28515625" style="439"/>
    <col min="3329" max="3329" width="66.42578125" style="439" customWidth="1"/>
    <col min="3330" max="3332" width="0" style="439" hidden="1" customWidth="1"/>
    <col min="3333" max="3333" width="4" style="439" customWidth="1"/>
    <col min="3334" max="3334" width="16.140625" style="439" customWidth="1"/>
    <col min="3335" max="3335" width="3" style="439" customWidth="1"/>
    <col min="3336" max="3336" width="15.42578125" style="439" customWidth="1"/>
    <col min="3337" max="3337" width="5.5703125" style="439" customWidth="1"/>
    <col min="3338" max="3344" width="0" style="439" hidden="1" customWidth="1"/>
    <col min="3345" max="3345" width="14.85546875" style="439" bestFit="1" customWidth="1"/>
    <col min="3346" max="3346" width="14" style="439" bestFit="1" customWidth="1"/>
    <col min="3347" max="3348" width="11.5703125" style="439" bestFit="1" customWidth="1"/>
    <col min="3349" max="3584" width="10.28515625" style="439"/>
    <col min="3585" max="3585" width="66.42578125" style="439" customWidth="1"/>
    <col min="3586" max="3588" width="0" style="439" hidden="1" customWidth="1"/>
    <col min="3589" max="3589" width="4" style="439" customWidth="1"/>
    <col min="3590" max="3590" width="16.140625" style="439" customWidth="1"/>
    <col min="3591" max="3591" width="3" style="439" customWidth="1"/>
    <col min="3592" max="3592" width="15.42578125" style="439" customWidth="1"/>
    <col min="3593" max="3593" width="5.5703125" style="439" customWidth="1"/>
    <col min="3594" max="3600" width="0" style="439" hidden="1" customWidth="1"/>
    <col min="3601" max="3601" width="14.85546875" style="439" bestFit="1" customWidth="1"/>
    <col min="3602" max="3602" width="14" style="439" bestFit="1" customWidth="1"/>
    <col min="3603" max="3604" width="11.5703125" style="439" bestFit="1" customWidth="1"/>
    <col min="3605" max="3840" width="10.28515625" style="439"/>
    <col min="3841" max="3841" width="66.42578125" style="439" customWidth="1"/>
    <col min="3842" max="3844" width="0" style="439" hidden="1" customWidth="1"/>
    <col min="3845" max="3845" width="4" style="439" customWidth="1"/>
    <col min="3846" max="3846" width="16.140625" style="439" customWidth="1"/>
    <col min="3847" max="3847" width="3" style="439" customWidth="1"/>
    <col min="3848" max="3848" width="15.42578125" style="439" customWidth="1"/>
    <col min="3849" max="3849" width="5.5703125" style="439" customWidth="1"/>
    <col min="3850" max="3856" width="0" style="439" hidden="1" customWidth="1"/>
    <col min="3857" max="3857" width="14.85546875" style="439" bestFit="1" customWidth="1"/>
    <col min="3858" max="3858" width="14" style="439" bestFit="1" customWidth="1"/>
    <col min="3859" max="3860" width="11.5703125" style="439" bestFit="1" customWidth="1"/>
    <col min="3861" max="4096" width="10.28515625" style="439"/>
    <col min="4097" max="4097" width="66.42578125" style="439" customWidth="1"/>
    <col min="4098" max="4100" width="0" style="439" hidden="1" customWidth="1"/>
    <col min="4101" max="4101" width="4" style="439" customWidth="1"/>
    <col min="4102" max="4102" width="16.140625" style="439" customWidth="1"/>
    <col min="4103" max="4103" width="3" style="439" customWidth="1"/>
    <col min="4104" max="4104" width="15.42578125" style="439" customWidth="1"/>
    <col min="4105" max="4105" width="5.5703125" style="439" customWidth="1"/>
    <col min="4106" max="4112" width="0" style="439" hidden="1" customWidth="1"/>
    <col min="4113" max="4113" width="14.85546875" style="439" bestFit="1" customWidth="1"/>
    <col min="4114" max="4114" width="14" style="439" bestFit="1" customWidth="1"/>
    <col min="4115" max="4116" width="11.5703125" style="439" bestFit="1" customWidth="1"/>
    <col min="4117" max="4352" width="10.28515625" style="439"/>
    <col min="4353" max="4353" width="66.42578125" style="439" customWidth="1"/>
    <col min="4354" max="4356" width="0" style="439" hidden="1" customWidth="1"/>
    <col min="4357" max="4357" width="4" style="439" customWidth="1"/>
    <col min="4358" max="4358" width="16.140625" style="439" customWidth="1"/>
    <col min="4359" max="4359" width="3" style="439" customWidth="1"/>
    <col min="4360" max="4360" width="15.42578125" style="439" customWidth="1"/>
    <col min="4361" max="4361" width="5.5703125" style="439" customWidth="1"/>
    <col min="4362" max="4368" width="0" style="439" hidden="1" customWidth="1"/>
    <col min="4369" max="4369" width="14.85546875" style="439" bestFit="1" customWidth="1"/>
    <col min="4370" max="4370" width="14" style="439" bestFit="1" customWidth="1"/>
    <col min="4371" max="4372" width="11.5703125" style="439" bestFit="1" customWidth="1"/>
    <col min="4373" max="4608" width="10.28515625" style="439"/>
    <col min="4609" max="4609" width="66.42578125" style="439" customWidth="1"/>
    <col min="4610" max="4612" width="0" style="439" hidden="1" customWidth="1"/>
    <col min="4613" max="4613" width="4" style="439" customWidth="1"/>
    <col min="4614" max="4614" width="16.140625" style="439" customWidth="1"/>
    <col min="4615" max="4615" width="3" style="439" customWidth="1"/>
    <col min="4616" max="4616" width="15.42578125" style="439" customWidth="1"/>
    <col min="4617" max="4617" width="5.5703125" style="439" customWidth="1"/>
    <col min="4618" max="4624" width="0" style="439" hidden="1" customWidth="1"/>
    <col min="4625" max="4625" width="14.85546875" style="439" bestFit="1" customWidth="1"/>
    <col min="4626" max="4626" width="14" style="439" bestFit="1" customWidth="1"/>
    <col min="4627" max="4628" width="11.5703125" style="439" bestFit="1" customWidth="1"/>
    <col min="4629" max="4864" width="10.28515625" style="439"/>
    <col min="4865" max="4865" width="66.42578125" style="439" customWidth="1"/>
    <col min="4866" max="4868" width="0" style="439" hidden="1" customWidth="1"/>
    <col min="4869" max="4869" width="4" style="439" customWidth="1"/>
    <col min="4870" max="4870" width="16.140625" style="439" customWidth="1"/>
    <col min="4871" max="4871" width="3" style="439" customWidth="1"/>
    <col min="4872" max="4872" width="15.42578125" style="439" customWidth="1"/>
    <col min="4873" max="4873" width="5.5703125" style="439" customWidth="1"/>
    <col min="4874" max="4880" width="0" style="439" hidden="1" customWidth="1"/>
    <col min="4881" max="4881" width="14.85546875" style="439" bestFit="1" customWidth="1"/>
    <col min="4882" max="4882" width="14" style="439" bestFit="1" customWidth="1"/>
    <col min="4883" max="4884" width="11.5703125" style="439" bestFit="1" customWidth="1"/>
    <col min="4885" max="5120" width="10.28515625" style="439"/>
    <col min="5121" max="5121" width="66.42578125" style="439" customWidth="1"/>
    <col min="5122" max="5124" width="0" style="439" hidden="1" customWidth="1"/>
    <col min="5125" max="5125" width="4" style="439" customWidth="1"/>
    <col min="5126" max="5126" width="16.140625" style="439" customWidth="1"/>
    <col min="5127" max="5127" width="3" style="439" customWidth="1"/>
    <col min="5128" max="5128" width="15.42578125" style="439" customWidth="1"/>
    <col min="5129" max="5129" width="5.5703125" style="439" customWidth="1"/>
    <col min="5130" max="5136" width="0" style="439" hidden="1" customWidth="1"/>
    <col min="5137" max="5137" width="14.85546875" style="439" bestFit="1" customWidth="1"/>
    <col min="5138" max="5138" width="14" style="439" bestFit="1" customWidth="1"/>
    <col min="5139" max="5140" width="11.5703125" style="439" bestFit="1" customWidth="1"/>
    <col min="5141" max="5376" width="10.28515625" style="439"/>
    <col min="5377" max="5377" width="66.42578125" style="439" customWidth="1"/>
    <col min="5378" max="5380" width="0" style="439" hidden="1" customWidth="1"/>
    <col min="5381" max="5381" width="4" style="439" customWidth="1"/>
    <col min="5382" max="5382" width="16.140625" style="439" customWidth="1"/>
    <col min="5383" max="5383" width="3" style="439" customWidth="1"/>
    <col min="5384" max="5384" width="15.42578125" style="439" customWidth="1"/>
    <col min="5385" max="5385" width="5.5703125" style="439" customWidth="1"/>
    <col min="5386" max="5392" width="0" style="439" hidden="1" customWidth="1"/>
    <col min="5393" max="5393" width="14.85546875" style="439" bestFit="1" customWidth="1"/>
    <col min="5394" max="5394" width="14" style="439" bestFit="1" customWidth="1"/>
    <col min="5395" max="5396" width="11.5703125" style="439" bestFit="1" customWidth="1"/>
    <col min="5397" max="5632" width="10.28515625" style="439"/>
    <col min="5633" max="5633" width="66.42578125" style="439" customWidth="1"/>
    <col min="5634" max="5636" width="0" style="439" hidden="1" customWidth="1"/>
    <col min="5637" max="5637" width="4" style="439" customWidth="1"/>
    <col min="5638" max="5638" width="16.140625" style="439" customWidth="1"/>
    <col min="5639" max="5639" width="3" style="439" customWidth="1"/>
    <col min="5640" max="5640" width="15.42578125" style="439" customWidth="1"/>
    <col min="5641" max="5641" width="5.5703125" style="439" customWidth="1"/>
    <col min="5642" max="5648" width="0" style="439" hidden="1" customWidth="1"/>
    <col min="5649" max="5649" width="14.85546875" style="439" bestFit="1" customWidth="1"/>
    <col min="5650" max="5650" width="14" style="439" bestFit="1" customWidth="1"/>
    <col min="5651" max="5652" width="11.5703125" style="439" bestFit="1" customWidth="1"/>
    <col min="5653" max="5888" width="10.28515625" style="439"/>
    <col min="5889" max="5889" width="66.42578125" style="439" customWidth="1"/>
    <col min="5890" max="5892" width="0" style="439" hidden="1" customWidth="1"/>
    <col min="5893" max="5893" width="4" style="439" customWidth="1"/>
    <col min="5894" max="5894" width="16.140625" style="439" customWidth="1"/>
    <col min="5895" max="5895" width="3" style="439" customWidth="1"/>
    <col min="5896" max="5896" width="15.42578125" style="439" customWidth="1"/>
    <col min="5897" max="5897" width="5.5703125" style="439" customWidth="1"/>
    <col min="5898" max="5904" width="0" style="439" hidden="1" customWidth="1"/>
    <col min="5905" max="5905" width="14.85546875" style="439" bestFit="1" customWidth="1"/>
    <col min="5906" max="5906" width="14" style="439" bestFit="1" customWidth="1"/>
    <col min="5907" max="5908" width="11.5703125" style="439" bestFit="1" customWidth="1"/>
    <col min="5909" max="6144" width="10.28515625" style="439"/>
    <col min="6145" max="6145" width="66.42578125" style="439" customWidth="1"/>
    <col min="6146" max="6148" width="0" style="439" hidden="1" customWidth="1"/>
    <col min="6149" max="6149" width="4" style="439" customWidth="1"/>
    <col min="6150" max="6150" width="16.140625" style="439" customWidth="1"/>
    <col min="6151" max="6151" width="3" style="439" customWidth="1"/>
    <col min="6152" max="6152" width="15.42578125" style="439" customWidth="1"/>
    <col min="6153" max="6153" width="5.5703125" style="439" customWidth="1"/>
    <col min="6154" max="6160" width="0" style="439" hidden="1" customWidth="1"/>
    <col min="6161" max="6161" width="14.85546875" style="439" bestFit="1" customWidth="1"/>
    <col min="6162" max="6162" width="14" style="439" bestFit="1" customWidth="1"/>
    <col min="6163" max="6164" width="11.5703125" style="439" bestFit="1" customWidth="1"/>
    <col min="6165" max="6400" width="10.28515625" style="439"/>
    <col min="6401" max="6401" width="66.42578125" style="439" customWidth="1"/>
    <col min="6402" max="6404" width="0" style="439" hidden="1" customWidth="1"/>
    <col min="6405" max="6405" width="4" style="439" customWidth="1"/>
    <col min="6406" max="6406" width="16.140625" style="439" customWidth="1"/>
    <col min="6407" max="6407" width="3" style="439" customWidth="1"/>
    <col min="6408" max="6408" width="15.42578125" style="439" customWidth="1"/>
    <col min="6409" max="6409" width="5.5703125" style="439" customWidth="1"/>
    <col min="6410" max="6416" width="0" style="439" hidden="1" customWidth="1"/>
    <col min="6417" max="6417" width="14.85546875" style="439" bestFit="1" customWidth="1"/>
    <col min="6418" max="6418" width="14" style="439" bestFit="1" customWidth="1"/>
    <col min="6419" max="6420" width="11.5703125" style="439" bestFit="1" customWidth="1"/>
    <col min="6421" max="6656" width="10.28515625" style="439"/>
    <col min="6657" max="6657" width="66.42578125" style="439" customWidth="1"/>
    <col min="6658" max="6660" width="0" style="439" hidden="1" customWidth="1"/>
    <col min="6661" max="6661" width="4" style="439" customWidth="1"/>
    <col min="6662" max="6662" width="16.140625" style="439" customWidth="1"/>
    <col min="6663" max="6663" width="3" style="439" customWidth="1"/>
    <col min="6664" max="6664" width="15.42578125" style="439" customWidth="1"/>
    <col min="6665" max="6665" width="5.5703125" style="439" customWidth="1"/>
    <col min="6666" max="6672" width="0" style="439" hidden="1" customWidth="1"/>
    <col min="6673" max="6673" width="14.85546875" style="439" bestFit="1" customWidth="1"/>
    <col min="6674" max="6674" width="14" style="439" bestFit="1" customWidth="1"/>
    <col min="6675" max="6676" width="11.5703125" style="439" bestFit="1" customWidth="1"/>
    <col min="6677" max="6912" width="10.28515625" style="439"/>
    <col min="6913" max="6913" width="66.42578125" style="439" customWidth="1"/>
    <col min="6914" max="6916" width="0" style="439" hidden="1" customWidth="1"/>
    <col min="6917" max="6917" width="4" style="439" customWidth="1"/>
    <col min="6918" max="6918" width="16.140625" style="439" customWidth="1"/>
    <col min="6919" max="6919" width="3" style="439" customWidth="1"/>
    <col min="6920" max="6920" width="15.42578125" style="439" customWidth="1"/>
    <col min="6921" max="6921" width="5.5703125" style="439" customWidth="1"/>
    <col min="6922" max="6928" width="0" style="439" hidden="1" customWidth="1"/>
    <col min="6929" max="6929" width="14.85546875" style="439" bestFit="1" customWidth="1"/>
    <col min="6930" max="6930" width="14" style="439" bestFit="1" customWidth="1"/>
    <col min="6931" max="6932" width="11.5703125" style="439" bestFit="1" customWidth="1"/>
    <col min="6933" max="7168" width="10.28515625" style="439"/>
    <col min="7169" max="7169" width="66.42578125" style="439" customWidth="1"/>
    <col min="7170" max="7172" width="0" style="439" hidden="1" customWidth="1"/>
    <col min="7173" max="7173" width="4" style="439" customWidth="1"/>
    <col min="7174" max="7174" width="16.140625" style="439" customWidth="1"/>
    <col min="7175" max="7175" width="3" style="439" customWidth="1"/>
    <col min="7176" max="7176" width="15.42578125" style="439" customWidth="1"/>
    <col min="7177" max="7177" width="5.5703125" style="439" customWidth="1"/>
    <col min="7178" max="7184" width="0" style="439" hidden="1" customWidth="1"/>
    <col min="7185" max="7185" width="14.85546875" style="439" bestFit="1" customWidth="1"/>
    <col min="7186" max="7186" width="14" style="439" bestFit="1" customWidth="1"/>
    <col min="7187" max="7188" width="11.5703125" style="439" bestFit="1" customWidth="1"/>
    <col min="7189" max="7424" width="10.28515625" style="439"/>
    <col min="7425" max="7425" width="66.42578125" style="439" customWidth="1"/>
    <col min="7426" max="7428" width="0" style="439" hidden="1" customWidth="1"/>
    <col min="7429" max="7429" width="4" style="439" customWidth="1"/>
    <col min="7430" max="7430" width="16.140625" style="439" customWidth="1"/>
    <col min="7431" max="7431" width="3" style="439" customWidth="1"/>
    <col min="7432" max="7432" width="15.42578125" style="439" customWidth="1"/>
    <col min="7433" max="7433" width="5.5703125" style="439" customWidth="1"/>
    <col min="7434" max="7440" width="0" style="439" hidden="1" customWidth="1"/>
    <col min="7441" max="7441" width="14.85546875" style="439" bestFit="1" customWidth="1"/>
    <col min="7442" max="7442" width="14" style="439" bestFit="1" customWidth="1"/>
    <col min="7443" max="7444" width="11.5703125" style="439" bestFit="1" customWidth="1"/>
    <col min="7445" max="7680" width="10.28515625" style="439"/>
    <col min="7681" max="7681" width="66.42578125" style="439" customWidth="1"/>
    <col min="7682" max="7684" width="0" style="439" hidden="1" customWidth="1"/>
    <col min="7685" max="7685" width="4" style="439" customWidth="1"/>
    <col min="7686" max="7686" width="16.140625" style="439" customWidth="1"/>
    <col min="7687" max="7687" width="3" style="439" customWidth="1"/>
    <col min="7688" max="7688" width="15.42578125" style="439" customWidth="1"/>
    <col min="7689" max="7689" width="5.5703125" style="439" customWidth="1"/>
    <col min="7690" max="7696" width="0" style="439" hidden="1" customWidth="1"/>
    <col min="7697" max="7697" width="14.85546875" style="439" bestFit="1" customWidth="1"/>
    <col min="7698" max="7698" width="14" style="439" bestFit="1" customWidth="1"/>
    <col min="7699" max="7700" width="11.5703125" style="439" bestFit="1" customWidth="1"/>
    <col min="7701" max="7936" width="10.28515625" style="439"/>
    <col min="7937" max="7937" width="66.42578125" style="439" customWidth="1"/>
    <col min="7938" max="7940" width="0" style="439" hidden="1" customWidth="1"/>
    <col min="7941" max="7941" width="4" style="439" customWidth="1"/>
    <col min="7942" max="7942" width="16.140625" style="439" customWidth="1"/>
    <col min="7943" max="7943" width="3" style="439" customWidth="1"/>
    <col min="7944" max="7944" width="15.42578125" style="439" customWidth="1"/>
    <col min="7945" max="7945" width="5.5703125" style="439" customWidth="1"/>
    <col min="7946" max="7952" width="0" style="439" hidden="1" customWidth="1"/>
    <col min="7953" max="7953" width="14.85546875" style="439" bestFit="1" customWidth="1"/>
    <col min="7954" max="7954" width="14" style="439" bestFit="1" customWidth="1"/>
    <col min="7955" max="7956" width="11.5703125" style="439" bestFit="1" customWidth="1"/>
    <col min="7957" max="8192" width="10.28515625" style="439"/>
    <col min="8193" max="8193" width="66.42578125" style="439" customWidth="1"/>
    <col min="8194" max="8196" width="0" style="439" hidden="1" customWidth="1"/>
    <col min="8197" max="8197" width="4" style="439" customWidth="1"/>
    <col min="8198" max="8198" width="16.140625" style="439" customWidth="1"/>
    <col min="8199" max="8199" width="3" style="439" customWidth="1"/>
    <col min="8200" max="8200" width="15.42578125" style="439" customWidth="1"/>
    <col min="8201" max="8201" width="5.5703125" style="439" customWidth="1"/>
    <col min="8202" max="8208" width="0" style="439" hidden="1" customWidth="1"/>
    <col min="8209" max="8209" width="14.85546875" style="439" bestFit="1" customWidth="1"/>
    <col min="8210" max="8210" width="14" style="439" bestFit="1" customWidth="1"/>
    <col min="8211" max="8212" width="11.5703125" style="439" bestFit="1" customWidth="1"/>
    <col min="8213" max="8448" width="10.28515625" style="439"/>
    <col min="8449" max="8449" width="66.42578125" style="439" customWidth="1"/>
    <col min="8450" max="8452" width="0" style="439" hidden="1" customWidth="1"/>
    <col min="8453" max="8453" width="4" style="439" customWidth="1"/>
    <col min="8454" max="8454" width="16.140625" style="439" customWidth="1"/>
    <col min="8455" max="8455" width="3" style="439" customWidth="1"/>
    <col min="8456" max="8456" width="15.42578125" style="439" customWidth="1"/>
    <col min="8457" max="8457" width="5.5703125" style="439" customWidth="1"/>
    <col min="8458" max="8464" width="0" style="439" hidden="1" customWidth="1"/>
    <col min="8465" max="8465" width="14.85546875" style="439" bestFit="1" customWidth="1"/>
    <col min="8466" max="8466" width="14" style="439" bestFit="1" customWidth="1"/>
    <col min="8467" max="8468" width="11.5703125" style="439" bestFit="1" customWidth="1"/>
    <col min="8469" max="8704" width="10.28515625" style="439"/>
    <col min="8705" max="8705" width="66.42578125" style="439" customWidth="1"/>
    <col min="8706" max="8708" width="0" style="439" hidden="1" customWidth="1"/>
    <col min="8709" max="8709" width="4" style="439" customWidth="1"/>
    <col min="8710" max="8710" width="16.140625" style="439" customWidth="1"/>
    <col min="8711" max="8711" width="3" style="439" customWidth="1"/>
    <col min="8712" max="8712" width="15.42578125" style="439" customWidth="1"/>
    <col min="8713" max="8713" width="5.5703125" style="439" customWidth="1"/>
    <col min="8714" max="8720" width="0" style="439" hidden="1" customWidth="1"/>
    <col min="8721" max="8721" width="14.85546875" style="439" bestFit="1" customWidth="1"/>
    <col min="8722" max="8722" width="14" style="439" bestFit="1" customWidth="1"/>
    <col min="8723" max="8724" width="11.5703125" style="439" bestFit="1" customWidth="1"/>
    <col min="8725" max="8960" width="10.28515625" style="439"/>
    <col min="8961" max="8961" width="66.42578125" style="439" customWidth="1"/>
    <col min="8962" max="8964" width="0" style="439" hidden="1" customWidth="1"/>
    <col min="8965" max="8965" width="4" style="439" customWidth="1"/>
    <col min="8966" max="8966" width="16.140625" style="439" customWidth="1"/>
    <col min="8967" max="8967" width="3" style="439" customWidth="1"/>
    <col min="8968" max="8968" width="15.42578125" style="439" customWidth="1"/>
    <col min="8969" max="8969" width="5.5703125" style="439" customWidth="1"/>
    <col min="8970" max="8976" width="0" style="439" hidden="1" customWidth="1"/>
    <col min="8977" max="8977" width="14.85546875" style="439" bestFit="1" customWidth="1"/>
    <col min="8978" max="8978" width="14" style="439" bestFit="1" customWidth="1"/>
    <col min="8979" max="8980" width="11.5703125" style="439" bestFit="1" customWidth="1"/>
    <col min="8981" max="9216" width="10.28515625" style="439"/>
    <col min="9217" max="9217" width="66.42578125" style="439" customWidth="1"/>
    <col min="9218" max="9220" width="0" style="439" hidden="1" customWidth="1"/>
    <col min="9221" max="9221" width="4" style="439" customWidth="1"/>
    <col min="9222" max="9222" width="16.140625" style="439" customWidth="1"/>
    <col min="9223" max="9223" width="3" style="439" customWidth="1"/>
    <col min="9224" max="9224" width="15.42578125" style="439" customWidth="1"/>
    <col min="9225" max="9225" width="5.5703125" style="439" customWidth="1"/>
    <col min="9226" max="9232" width="0" style="439" hidden="1" customWidth="1"/>
    <col min="9233" max="9233" width="14.85546875" style="439" bestFit="1" customWidth="1"/>
    <col min="9234" max="9234" width="14" style="439" bestFit="1" customWidth="1"/>
    <col min="9235" max="9236" width="11.5703125" style="439" bestFit="1" customWidth="1"/>
    <col min="9237" max="9472" width="10.28515625" style="439"/>
    <col min="9473" max="9473" width="66.42578125" style="439" customWidth="1"/>
    <col min="9474" max="9476" width="0" style="439" hidden="1" customWidth="1"/>
    <col min="9477" max="9477" width="4" style="439" customWidth="1"/>
    <col min="9478" max="9478" width="16.140625" style="439" customWidth="1"/>
    <col min="9479" max="9479" width="3" style="439" customWidth="1"/>
    <col min="9480" max="9480" width="15.42578125" style="439" customWidth="1"/>
    <col min="9481" max="9481" width="5.5703125" style="439" customWidth="1"/>
    <col min="9482" max="9488" width="0" style="439" hidden="1" customWidth="1"/>
    <col min="9489" max="9489" width="14.85546875" style="439" bestFit="1" customWidth="1"/>
    <col min="9490" max="9490" width="14" style="439" bestFit="1" customWidth="1"/>
    <col min="9491" max="9492" width="11.5703125" style="439" bestFit="1" customWidth="1"/>
    <col min="9493" max="9728" width="10.28515625" style="439"/>
    <col min="9729" max="9729" width="66.42578125" style="439" customWidth="1"/>
    <col min="9730" max="9732" width="0" style="439" hidden="1" customWidth="1"/>
    <col min="9733" max="9733" width="4" style="439" customWidth="1"/>
    <col min="9734" max="9734" width="16.140625" style="439" customWidth="1"/>
    <col min="9735" max="9735" width="3" style="439" customWidth="1"/>
    <col min="9736" max="9736" width="15.42578125" style="439" customWidth="1"/>
    <col min="9737" max="9737" width="5.5703125" style="439" customWidth="1"/>
    <col min="9738" max="9744" width="0" style="439" hidden="1" customWidth="1"/>
    <col min="9745" max="9745" width="14.85546875" style="439" bestFit="1" customWidth="1"/>
    <col min="9746" max="9746" width="14" style="439" bestFit="1" customWidth="1"/>
    <col min="9747" max="9748" width="11.5703125" style="439" bestFit="1" customWidth="1"/>
    <col min="9749" max="9984" width="10.28515625" style="439"/>
    <col min="9985" max="9985" width="66.42578125" style="439" customWidth="1"/>
    <col min="9986" max="9988" width="0" style="439" hidden="1" customWidth="1"/>
    <col min="9989" max="9989" width="4" style="439" customWidth="1"/>
    <col min="9990" max="9990" width="16.140625" style="439" customWidth="1"/>
    <col min="9991" max="9991" width="3" style="439" customWidth="1"/>
    <col min="9992" max="9992" width="15.42578125" style="439" customWidth="1"/>
    <col min="9993" max="9993" width="5.5703125" style="439" customWidth="1"/>
    <col min="9994" max="10000" width="0" style="439" hidden="1" customWidth="1"/>
    <col min="10001" max="10001" width="14.85546875" style="439" bestFit="1" customWidth="1"/>
    <col min="10002" max="10002" width="14" style="439" bestFit="1" customWidth="1"/>
    <col min="10003" max="10004" width="11.5703125" style="439" bestFit="1" customWidth="1"/>
    <col min="10005" max="10240" width="10.28515625" style="439"/>
    <col min="10241" max="10241" width="66.42578125" style="439" customWidth="1"/>
    <col min="10242" max="10244" width="0" style="439" hidden="1" customWidth="1"/>
    <col min="10245" max="10245" width="4" style="439" customWidth="1"/>
    <col min="10246" max="10246" width="16.140625" style="439" customWidth="1"/>
    <col min="10247" max="10247" width="3" style="439" customWidth="1"/>
    <col min="10248" max="10248" width="15.42578125" style="439" customWidth="1"/>
    <col min="10249" max="10249" width="5.5703125" style="439" customWidth="1"/>
    <col min="10250" max="10256" width="0" style="439" hidden="1" customWidth="1"/>
    <col min="10257" max="10257" width="14.85546875" style="439" bestFit="1" customWidth="1"/>
    <col min="10258" max="10258" width="14" style="439" bestFit="1" customWidth="1"/>
    <col min="10259" max="10260" width="11.5703125" style="439" bestFit="1" customWidth="1"/>
    <col min="10261" max="10496" width="10.28515625" style="439"/>
    <col min="10497" max="10497" width="66.42578125" style="439" customWidth="1"/>
    <col min="10498" max="10500" width="0" style="439" hidden="1" customWidth="1"/>
    <col min="10501" max="10501" width="4" style="439" customWidth="1"/>
    <col min="10502" max="10502" width="16.140625" style="439" customWidth="1"/>
    <col min="10503" max="10503" width="3" style="439" customWidth="1"/>
    <col min="10504" max="10504" width="15.42578125" style="439" customWidth="1"/>
    <col min="10505" max="10505" width="5.5703125" style="439" customWidth="1"/>
    <col min="10506" max="10512" width="0" style="439" hidden="1" customWidth="1"/>
    <col min="10513" max="10513" width="14.85546875" style="439" bestFit="1" customWidth="1"/>
    <col min="10514" max="10514" width="14" style="439" bestFit="1" customWidth="1"/>
    <col min="10515" max="10516" width="11.5703125" style="439" bestFit="1" customWidth="1"/>
    <col min="10517" max="10752" width="10.28515625" style="439"/>
    <col min="10753" max="10753" width="66.42578125" style="439" customWidth="1"/>
    <col min="10754" max="10756" width="0" style="439" hidden="1" customWidth="1"/>
    <col min="10757" max="10757" width="4" style="439" customWidth="1"/>
    <col min="10758" max="10758" width="16.140625" style="439" customWidth="1"/>
    <col min="10759" max="10759" width="3" style="439" customWidth="1"/>
    <col min="10760" max="10760" width="15.42578125" style="439" customWidth="1"/>
    <col min="10761" max="10761" width="5.5703125" style="439" customWidth="1"/>
    <col min="10762" max="10768" width="0" style="439" hidden="1" customWidth="1"/>
    <col min="10769" max="10769" width="14.85546875" style="439" bestFit="1" customWidth="1"/>
    <col min="10770" max="10770" width="14" style="439" bestFit="1" customWidth="1"/>
    <col min="10771" max="10772" width="11.5703125" style="439" bestFit="1" customWidth="1"/>
    <col min="10773" max="11008" width="10.28515625" style="439"/>
    <col min="11009" max="11009" width="66.42578125" style="439" customWidth="1"/>
    <col min="11010" max="11012" width="0" style="439" hidden="1" customWidth="1"/>
    <col min="11013" max="11013" width="4" style="439" customWidth="1"/>
    <col min="11014" max="11014" width="16.140625" style="439" customWidth="1"/>
    <col min="11015" max="11015" width="3" style="439" customWidth="1"/>
    <col min="11016" max="11016" width="15.42578125" style="439" customWidth="1"/>
    <col min="11017" max="11017" width="5.5703125" style="439" customWidth="1"/>
    <col min="11018" max="11024" width="0" style="439" hidden="1" customWidth="1"/>
    <col min="11025" max="11025" width="14.85546875" style="439" bestFit="1" customWidth="1"/>
    <col min="11026" max="11026" width="14" style="439" bestFit="1" customWidth="1"/>
    <col min="11027" max="11028" width="11.5703125" style="439" bestFit="1" customWidth="1"/>
    <col min="11029" max="11264" width="10.28515625" style="439"/>
    <col min="11265" max="11265" width="66.42578125" style="439" customWidth="1"/>
    <col min="11266" max="11268" width="0" style="439" hidden="1" customWidth="1"/>
    <col min="11269" max="11269" width="4" style="439" customWidth="1"/>
    <col min="11270" max="11270" width="16.140625" style="439" customWidth="1"/>
    <col min="11271" max="11271" width="3" style="439" customWidth="1"/>
    <col min="11272" max="11272" width="15.42578125" style="439" customWidth="1"/>
    <col min="11273" max="11273" width="5.5703125" style="439" customWidth="1"/>
    <col min="11274" max="11280" width="0" style="439" hidden="1" customWidth="1"/>
    <col min="11281" max="11281" width="14.85546875" style="439" bestFit="1" customWidth="1"/>
    <col min="11282" max="11282" width="14" style="439" bestFit="1" customWidth="1"/>
    <col min="11283" max="11284" width="11.5703125" style="439" bestFit="1" customWidth="1"/>
    <col min="11285" max="11520" width="10.28515625" style="439"/>
    <col min="11521" max="11521" width="66.42578125" style="439" customWidth="1"/>
    <col min="11522" max="11524" width="0" style="439" hidden="1" customWidth="1"/>
    <col min="11525" max="11525" width="4" style="439" customWidth="1"/>
    <col min="11526" max="11526" width="16.140625" style="439" customWidth="1"/>
    <col min="11527" max="11527" width="3" style="439" customWidth="1"/>
    <col min="11528" max="11528" width="15.42578125" style="439" customWidth="1"/>
    <col min="11529" max="11529" width="5.5703125" style="439" customWidth="1"/>
    <col min="11530" max="11536" width="0" style="439" hidden="1" customWidth="1"/>
    <col min="11537" max="11537" width="14.85546875" style="439" bestFit="1" customWidth="1"/>
    <col min="11538" max="11538" width="14" style="439" bestFit="1" customWidth="1"/>
    <col min="11539" max="11540" width="11.5703125" style="439" bestFit="1" customWidth="1"/>
    <col min="11541" max="11776" width="10.28515625" style="439"/>
    <col min="11777" max="11777" width="66.42578125" style="439" customWidth="1"/>
    <col min="11778" max="11780" width="0" style="439" hidden="1" customWidth="1"/>
    <col min="11781" max="11781" width="4" style="439" customWidth="1"/>
    <col min="11782" max="11782" width="16.140625" style="439" customWidth="1"/>
    <col min="11783" max="11783" width="3" style="439" customWidth="1"/>
    <col min="11784" max="11784" width="15.42578125" style="439" customWidth="1"/>
    <col min="11785" max="11785" width="5.5703125" style="439" customWidth="1"/>
    <col min="11786" max="11792" width="0" style="439" hidden="1" customWidth="1"/>
    <col min="11793" max="11793" width="14.85546875" style="439" bestFit="1" customWidth="1"/>
    <col min="11794" max="11794" width="14" style="439" bestFit="1" customWidth="1"/>
    <col min="11795" max="11796" width="11.5703125" style="439" bestFit="1" customWidth="1"/>
    <col min="11797" max="12032" width="10.28515625" style="439"/>
    <col min="12033" max="12033" width="66.42578125" style="439" customWidth="1"/>
    <col min="12034" max="12036" width="0" style="439" hidden="1" customWidth="1"/>
    <col min="12037" max="12037" width="4" style="439" customWidth="1"/>
    <col min="12038" max="12038" width="16.140625" style="439" customWidth="1"/>
    <col min="12039" max="12039" width="3" style="439" customWidth="1"/>
    <col min="12040" max="12040" width="15.42578125" style="439" customWidth="1"/>
    <col min="12041" max="12041" width="5.5703125" style="439" customWidth="1"/>
    <col min="12042" max="12048" width="0" style="439" hidden="1" customWidth="1"/>
    <col min="12049" max="12049" width="14.85546875" style="439" bestFit="1" customWidth="1"/>
    <col min="12050" max="12050" width="14" style="439" bestFit="1" customWidth="1"/>
    <col min="12051" max="12052" width="11.5703125" style="439" bestFit="1" customWidth="1"/>
    <col min="12053" max="12288" width="10.28515625" style="439"/>
    <col min="12289" max="12289" width="66.42578125" style="439" customWidth="1"/>
    <col min="12290" max="12292" width="0" style="439" hidden="1" customWidth="1"/>
    <col min="12293" max="12293" width="4" style="439" customWidth="1"/>
    <col min="12294" max="12294" width="16.140625" style="439" customWidth="1"/>
    <col min="12295" max="12295" width="3" style="439" customWidth="1"/>
    <col min="12296" max="12296" width="15.42578125" style="439" customWidth="1"/>
    <col min="12297" max="12297" width="5.5703125" style="439" customWidth="1"/>
    <col min="12298" max="12304" width="0" style="439" hidden="1" customWidth="1"/>
    <col min="12305" max="12305" width="14.85546875" style="439" bestFit="1" customWidth="1"/>
    <col min="12306" max="12306" width="14" style="439" bestFit="1" customWidth="1"/>
    <col min="12307" max="12308" width="11.5703125" style="439" bestFit="1" customWidth="1"/>
    <col min="12309" max="12544" width="10.28515625" style="439"/>
    <col min="12545" max="12545" width="66.42578125" style="439" customWidth="1"/>
    <col min="12546" max="12548" width="0" style="439" hidden="1" customWidth="1"/>
    <col min="12549" max="12549" width="4" style="439" customWidth="1"/>
    <col min="12550" max="12550" width="16.140625" style="439" customWidth="1"/>
    <col min="12551" max="12551" width="3" style="439" customWidth="1"/>
    <col min="12552" max="12552" width="15.42578125" style="439" customWidth="1"/>
    <col min="12553" max="12553" width="5.5703125" style="439" customWidth="1"/>
    <col min="12554" max="12560" width="0" style="439" hidden="1" customWidth="1"/>
    <col min="12561" max="12561" width="14.85546875" style="439" bestFit="1" customWidth="1"/>
    <col min="12562" max="12562" width="14" style="439" bestFit="1" customWidth="1"/>
    <col min="12563" max="12564" width="11.5703125" style="439" bestFit="1" customWidth="1"/>
    <col min="12565" max="12800" width="10.28515625" style="439"/>
    <col min="12801" max="12801" width="66.42578125" style="439" customWidth="1"/>
    <col min="12802" max="12804" width="0" style="439" hidden="1" customWidth="1"/>
    <col min="12805" max="12805" width="4" style="439" customWidth="1"/>
    <col min="12806" max="12806" width="16.140625" style="439" customWidth="1"/>
    <col min="12807" max="12807" width="3" style="439" customWidth="1"/>
    <col min="12808" max="12808" width="15.42578125" style="439" customWidth="1"/>
    <col min="12809" max="12809" width="5.5703125" style="439" customWidth="1"/>
    <col min="12810" max="12816" width="0" style="439" hidden="1" customWidth="1"/>
    <col min="12817" max="12817" width="14.85546875" style="439" bestFit="1" customWidth="1"/>
    <col min="12818" max="12818" width="14" style="439" bestFit="1" customWidth="1"/>
    <col min="12819" max="12820" width="11.5703125" style="439" bestFit="1" customWidth="1"/>
    <col min="12821" max="13056" width="10.28515625" style="439"/>
    <col min="13057" max="13057" width="66.42578125" style="439" customWidth="1"/>
    <col min="13058" max="13060" width="0" style="439" hidden="1" customWidth="1"/>
    <col min="13061" max="13061" width="4" style="439" customWidth="1"/>
    <col min="13062" max="13062" width="16.140625" style="439" customWidth="1"/>
    <col min="13063" max="13063" width="3" style="439" customWidth="1"/>
    <col min="13064" max="13064" width="15.42578125" style="439" customWidth="1"/>
    <col min="13065" max="13065" width="5.5703125" style="439" customWidth="1"/>
    <col min="13066" max="13072" width="0" style="439" hidden="1" customWidth="1"/>
    <col min="13073" max="13073" width="14.85546875" style="439" bestFit="1" customWidth="1"/>
    <col min="13074" max="13074" width="14" style="439" bestFit="1" customWidth="1"/>
    <col min="13075" max="13076" width="11.5703125" style="439" bestFit="1" customWidth="1"/>
    <col min="13077" max="13312" width="10.28515625" style="439"/>
    <col min="13313" max="13313" width="66.42578125" style="439" customWidth="1"/>
    <col min="13314" max="13316" width="0" style="439" hidden="1" customWidth="1"/>
    <col min="13317" max="13317" width="4" style="439" customWidth="1"/>
    <col min="13318" max="13318" width="16.140625" style="439" customWidth="1"/>
    <col min="13319" max="13319" width="3" style="439" customWidth="1"/>
    <col min="13320" max="13320" width="15.42578125" style="439" customWidth="1"/>
    <col min="13321" max="13321" width="5.5703125" style="439" customWidth="1"/>
    <col min="13322" max="13328" width="0" style="439" hidden="1" customWidth="1"/>
    <col min="13329" max="13329" width="14.85546875" style="439" bestFit="1" customWidth="1"/>
    <col min="13330" max="13330" width="14" style="439" bestFit="1" customWidth="1"/>
    <col min="13331" max="13332" width="11.5703125" style="439" bestFit="1" customWidth="1"/>
    <col min="13333" max="13568" width="10.28515625" style="439"/>
    <col min="13569" max="13569" width="66.42578125" style="439" customWidth="1"/>
    <col min="13570" max="13572" width="0" style="439" hidden="1" customWidth="1"/>
    <col min="13573" max="13573" width="4" style="439" customWidth="1"/>
    <col min="13574" max="13574" width="16.140625" style="439" customWidth="1"/>
    <col min="13575" max="13575" width="3" style="439" customWidth="1"/>
    <col min="13576" max="13576" width="15.42578125" style="439" customWidth="1"/>
    <col min="13577" max="13577" width="5.5703125" style="439" customWidth="1"/>
    <col min="13578" max="13584" width="0" style="439" hidden="1" customWidth="1"/>
    <col min="13585" max="13585" width="14.85546875" style="439" bestFit="1" customWidth="1"/>
    <col min="13586" max="13586" width="14" style="439" bestFit="1" customWidth="1"/>
    <col min="13587" max="13588" width="11.5703125" style="439" bestFit="1" customWidth="1"/>
    <col min="13589" max="13824" width="10.28515625" style="439"/>
    <col min="13825" max="13825" width="66.42578125" style="439" customWidth="1"/>
    <col min="13826" max="13828" width="0" style="439" hidden="1" customWidth="1"/>
    <col min="13829" max="13829" width="4" style="439" customWidth="1"/>
    <col min="13830" max="13830" width="16.140625" style="439" customWidth="1"/>
    <col min="13831" max="13831" width="3" style="439" customWidth="1"/>
    <col min="13832" max="13832" width="15.42578125" style="439" customWidth="1"/>
    <col min="13833" max="13833" width="5.5703125" style="439" customWidth="1"/>
    <col min="13834" max="13840" width="0" style="439" hidden="1" customWidth="1"/>
    <col min="13841" max="13841" width="14.85546875" style="439" bestFit="1" customWidth="1"/>
    <col min="13842" max="13842" width="14" style="439" bestFit="1" customWidth="1"/>
    <col min="13843" max="13844" width="11.5703125" style="439" bestFit="1" customWidth="1"/>
    <col min="13845" max="14080" width="10.28515625" style="439"/>
    <col min="14081" max="14081" width="66.42578125" style="439" customWidth="1"/>
    <col min="14082" max="14084" width="0" style="439" hidden="1" customWidth="1"/>
    <col min="14085" max="14085" width="4" style="439" customWidth="1"/>
    <col min="14086" max="14086" width="16.140625" style="439" customWidth="1"/>
    <col min="14087" max="14087" width="3" style="439" customWidth="1"/>
    <col min="14088" max="14088" width="15.42578125" style="439" customWidth="1"/>
    <col min="14089" max="14089" width="5.5703125" style="439" customWidth="1"/>
    <col min="14090" max="14096" width="0" style="439" hidden="1" customWidth="1"/>
    <col min="14097" max="14097" width="14.85546875" style="439" bestFit="1" customWidth="1"/>
    <col min="14098" max="14098" width="14" style="439" bestFit="1" customWidth="1"/>
    <col min="14099" max="14100" width="11.5703125" style="439" bestFit="1" customWidth="1"/>
    <col min="14101" max="14336" width="10.28515625" style="439"/>
    <col min="14337" max="14337" width="66.42578125" style="439" customWidth="1"/>
    <col min="14338" max="14340" width="0" style="439" hidden="1" customWidth="1"/>
    <col min="14341" max="14341" width="4" style="439" customWidth="1"/>
    <col min="14342" max="14342" width="16.140625" style="439" customWidth="1"/>
    <col min="14343" max="14343" width="3" style="439" customWidth="1"/>
    <col min="14344" max="14344" width="15.42578125" style="439" customWidth="1"/>
    <col min="14345" max="14345" width="5.5703125" style="439" customWidth="1"/>
    <col min="14346" max="14352" width="0" style="439" hidden="1" customWidth="1"/>
    <col min="14353" max="14353" width="14.85546875" style="439" bestFit="1" customWidth="1"/>
    <col min="14354" max="14354" width="14" style="439" bestFit="1" customWidth="1"/>
    <col min="14355" max="14356" width="11.5703125" style="439" bestFit="1" customWidth="1"/>
    <col min="14357" max="14592" width="10.28515625" style="439"/>
    <col min="14593" max="14593" width="66.42578125" style="439" customWidth="1"/>
    <col min="14594" max="14596" width="0" style="439" hidden="1" customWidth="1"/>
    <col min="14597" max="14597" width="4" style="439" customWidth="1"/>
    <col min="14598" max="14598" width="16.140625" style="439" customWidth="1"/>
    <col min="14599" max="14599" width="3" style="439" customWidth="1"/>
    <col min="14600" max="14600" width="15.42578125" style="439" customWidth="1"/>
    <col min="14601" max="14601" width="5.5703125" style="439" customWidth="1"/>
    <col min="14602" max="14608" width="0" style="439" hidden="1" customWidth="1"/>
    <col min="14609" max="14609" width="14.85546875" style="439" bestFit="1" customWidth="1"/>
    <col min="14610" max="14610" width="14" style="439" bestFit="1" customWidth="1"/>
    <col min="14611" max="14612" width="11.5703125" style="439" bestFit="1" customWidth="1"/>
    <col min="14613" max="14848" width="10.28515625" style="439"/>
    <col min="14849" max="14849" width="66.42578125" style="439" customWidth="1"/>
    <col min="14850" max="14852" width="0" style="439" hidden="1" customWidth="1"/>
    <col min="14853" max="14853" width="4" style="439" customWidth="1"/>
    <col min="14854" max="14854" width="16.140625" style="439" customWidth="1"/>
    <col min="14855" max="14855" width="3" style="439" customWidth="1"/>
    <col min="14856" max="14856" width="15.42578125" style="439" customWidth="1"/>
    <col min="14857" max="14857" width="5.5703125" style="439" customWidth="1"/>
    <col min="14858" max="14864" width="0" style="439" hidden="1" customWidth="1"/>
    <col min="14865" max="14865" width="14.85546875" style="439" bestFit="1" customWidth="1"/>
    <col min="14866" max="14866" width="14" style="439" bestFit="1" customWidth="1"/>
    <col min="14867" max="14868" width="11.5703125" style="439" bestFit="1" customWidth="1"/>
    <col min="14869" max="15104" width="10.28515625" style="439"/>
    <col min="15105" max="15105" width="66.42578125" style="439" customWidth="1"/>
    <col min="15106" max="15108" width="0" style="439" hidden="1" customWidth="1"/>
    <col min="15109" max="15109" width="4" style="439" customWidth="1"/>
    <col min="15110" max="15110" width="16.140625" style="439" customWidth="1"/>
    <col min="15111" max="15111" width="3" style="439" customWidth="1"/>
    <col min="15112" max="15112" width="15.42578125" style="439" customWidth="1"/>
    <col min="15113" max="15113" width="5.5703125" style="439" customWidth="1"/>
    <col min="15114" max="15120" width="0" style="439" hidden="1" customWidth="1"/>
    <col min="15121" max="15121" width="14.85546875" style="439" bestFit="1" customWidth="1"/>
    <col min="15122" max="15122" width="14" style="439" bestFit="1" customWidth="1"/>
    <col min="15123" max="15124" width="11.5703125" style="439" bestFit="1" customWidth="1"/>
    <col min="15125" max="15360" width="10.28515625" style="439"/>
    <col min="15361" max="15361" width="66.42578125" style="439" customWidth="1"/>
    <col min="15362" max="15364" width="0" style="439" hidden="1" customWidth="1"/>
    <col min="15365" max="15365" width="4" style="439" customWidth="1"/>
    <col min="15366" max="15366" width="16.140625" style="439" customWidth="1"/>
    <col min="15367" max="15367" width="3" style="439" customWidth="1"/>
    <col min="15368" max="15368" width="15.42578125" style="439" customWidth="1"/>
    <col min="15369" max="15369" width="5.5703125" style="439" customWidth="1"/>
    <col min="15370" max="15376" width="0" style="439" hidden="1" customWidth="1"/>
    <col min="15377" max="15377" width="14.85546875" style="439" bestFit="1" customWidth="1"/>
    <col min="15378" max="15378" width="14" style="439" bestFit="1" customWidth="1"/>
    <col min="15379" max="15380" width="11.5703125" style="439" bestFit="1" customWidth="1"/>
    <col min="15381" max="15616" width="10.28515625" style="439"/>
    <col min="15617" max="15617" width="66.42578125" style="439" customWidth="1"/>
    <col min="15618" max="15620" width="0" style="439" hidden="1" customWidth="1"/>
    <col min="15621" max="15621" width="4" style="439" customWidth="1"/>
    <col min="15622" max="15622" width="16.140625" style="439" customWidth="1"/>
    <col min="15623" max="15623" width="3" style="439" customWidth="1"/>
    <col min="15624" max="15624" width="15.42578125" style="439" customWidth="1"/>
    <col min="15625" max="15625" width="5.5703125" style="439" customWidth="1"/>
    <col min="15626" max="15632" width="0" style="439" hidden="1" customWidth="1"/>
    <col min="15633" max="15633" width="14.85546875" style="439" bestFit="1" customWidth="1"/>
    <col min="15634" max="15634" width="14" style="439" bestFit="1" customWidth="1"/>
    <col min="15635" max="15636" width="11.5703125" style="439" bestFit="1" customWidth="1"/>
    <col min="15637" max="15872" width="10.28515625" style="439"/>
    <col min="15873" max="15873" width="66.42578125" style="439" customWidth="1"/>
    <col min="15874" max="15876" width="0" style="439" hidden="1" customWidth="1"/>
    <col min="15877" max="15877" width="4" style="439" customWidth="1"/>
    <col min="15878" max="15878" width="16.140625" style="439" customWidth="1"/>
    <col min="15879" max="15879" width="3" style="439" customWidth="1"/>
    <col min="15880" max="15880" width="15.42578125" style="439" customWidth="1"/>
    <col min="15881" max="15881" width="5.5703125" style="439" customWidth="1"/>
    <col min="15882" max="15888" width="0" style="439" hidden="1" customWidth="1"/>
    <col min="15889" max="15889" width="14.85546875" style="439" bestFit="1" customWidth="1"/>
    <col min="15890" max="15890" width="14" style="439" bestFit="1" customWidth="1"/>
    <col min="15891" max="15892" width="11.5703125" style="439" bestFit="1" customWidth="1"/>
    <col min="15893" max="16128" width="10.28515625" style="439"/>
    <col min="16129" max="16129" width="66.42578125" style="439" customWidth="1"/>
    <col min="16130" max="16132" width="0" style="439" hidden="1" customWidth="1"/>
    <col min="16133" max="16133" width="4" style="439" customWidth="1"/>
    <col min="16134" max="16134" width="16.140625" style="439" customWidth="1"/>
    <col min="16135" max="16135" width="3" style="439" customWidth="1"/>
    <col min="16136" max="16136" width="15.42578125" style="439" customWidth="1"/>
    <col min="16137" max="16137" width="5.5703125" style="439" customWidth="1"/>
    <col min="16138" max="16144" width="0" style="439" hidden="1" customWidth="1"/>
    <col min="16145" max="16145" width="14.85546875" style="439" bestFit="1" customWidth="1"/>
    <col min="16146" max="16146" width="14" style="439" bestFit="1" customWidth="1"/>
    <col min="16147" max="16148" width="11.5703125" style="439" bestFit="1" customWidth="1"/>
    <col min="16149" max="16384" width="10.28515625" style="439"/>
  </cols>
  <sheetData>
    <row r="1" spans="1:20" ht="18">
      <c r="A1" s="437" t="s">
        <v>462</v>
      </c>
      <c r="B1" s="437"/>
      <c r="C1" s="437"/>
      <c r="D1" s="437"/>
      <c r="E1" s="437"/>
      <c r="F1" s="437"/>
      <c r="G1" s="437"/>
      <c r="H1" s="438"/>
    </row>
    <row r="2" spans="1:20" ht="15.75">
      <c r="A2" s="439" t="s">
        <v>463</v>
      </c>
      <c r="H2" s="438"/>
    </row>
    <row r="3" spans="1:20" ht="15.75">
      <c r="A3" s="438"/>
      <c r="B3" s="438"/>
      <c r="C3" s="438"/>
      <c r="D3" s="438"/>
      <c r="E3" s="438"/>
      <c r="F3" s="438"/>
      <c r="G3" s="438"/>
      <c r="H3" s="438"/>
    </row>
    <row r="4" spans="1:20" ht="15.75">
      <c r="A4" s="438" t="s">
        <v>464</v>
      </c>
      <c r="B4" s="438"/>
      <c r="C4" s="438"/>
      <c r="D4" s="438"/>
      <c r="E4" s="438"/>
      <c r="F4" s="438"/>
      <c r="G4" s="438"/>
      <c r="H4" s="438"/>
    </row>
    <row r="5" spans="1:20" ht="15.75">
      <c r="A5" s="440" t="s">
        <v>465</v>
      </c>
      <c r="B5" s="440"/>
      <c r="C5" s="440"/>
      <c r="D5" s="440"/>
      <c r="E5" s="440"/>
      <c r="F5" s="440"/>
      <c r="G5" s="440"/>
      <c r="H5" s="441"/>
      <c r="I5" s="442"/>
      <c r="J5" s="443"/>
      <c r="K5" s="443"/>
      <c r="L5" s="443"/>
    </row>
    <row r="6" spans="1:20" ht="15.75">
      <c r="A6" s="444" t="s">
        <v>466</v>
      </c>
      <c r="B6" s="1018" t="s">
        <v>467</v>
      </c>
      <c r="C6" s="1018"/>
      <c r="D6" s="1018"/>
      <c r="E6" s="444"/>
      <c r="F6" s="1018"/>
      <c r="G6" s="1018"/>
      <c r="H6" s="1018"/>
      <c r="I6" s="442"/>
    </row>
    <row r="7" spans="1:20" ht="15.75">
      <c r="F7" s="1019" t="s">
        <v>468</v>
      </c>
      <c r="G7" s="1019"/>
      <c r="H7" s="1019"/>
    </row>
    <row r="9" spans="1:20" s="445" customFormat="1" ht="45">
      <c r="B9" s="446" t="s">
        <v>469</v>
      </c>
      <c r="D9" s="446" t="s">
        <v>470</v>
      </c>
      <c r="F9" s="446" t="s">
        <v>471</v>
      </c>
      <c r="H9" s="447" t="s">
        <v>472</v>
      </c>
      <c r="J9" s="448">
        <v>42156</v>
      </c>
      <c r="L9" s="449">
        <v>41791</v>
      </c>
      <c r="N9" s="1020" t="s">
        <v>473</v>
      </c>
      <c r="O9" s="1020"/>
      <c r="P9" s="1020"/>
    </row>
    <row r="10" spans="1:20" s="445" customFormat="1">
      <c r="A10" s="450" t="s">
        <v>474</v>
      </c>
      <c r="B10" s="450"/>
      <c r="C10" s="450"/>
      <c r="D10" s="450"/>
      <c r="E10" s="450"/>
    </row>
    <row r="11" spans="1:20" s="445" customFormat="1" ht="15.75" customHeight="1">
      <c r="A11" s="451" t="s">
        <v>475</v>
      </c>
      <c r="B11" s="452">
        <v>1084324</v>
      </c>
      <c r="C11" s="453"/>
      <c r="D11" s="452">
        <v>1202023</v>
      </c>
      <c r="E11" s="454"/>
      <c r="F11" s="455">
        <v>761946</v>
      </c>
      <c r="G11" s="454"/>
      <c r="H11" s="452">
        <v>1014234</v>
      </c>
      <c r="J11" s="456">
        <v>2096068</v>
      </c>
      <c r="K11" s="457"/>
      <c r="L11" s="456">
        <v>2310731</v>
      </c>
      <c r="N11" s="458">
        <f t="shared" ref="N11:N16" si="0">B11+J11-F11</f>
        <v>2418446</v>
      </c>
      <c r="P11" s="458">
        <f t="shared" ref="P11:P16" si="1">D11+L11-H11</f>
        <v>2498520</v>
      </c>
      <c r="Q11" s="458"/>
    </row>
    <row r="12" spans="1:20" s="445" customFormat="1" ht="15.75" customHeight="1">
      <c r="A12" s="451" t="s">
        <v>476</v>
      </c>
      <c r="B12" s="459">
        <v>84184</v>
      </c>
      <c r="C12" s="460"/>
      <c r="D12" s="459">
        <v>94341</v>
      </c>
      <c r="E12" s="451"/>
      <c r="F12" s="461">
        <v>90139</v>
      </c>
      <c r="G12" s="462"/>
      <c r="H12" s="463">
        <v>143873</v>
      </c>
      <c r="J12" s="456">
        <v>229834</v>
      </c>
      <c r="K12" s="457"/>
      <c r="L12" s="456">
        <v>295616</v>
      </c>
      <c r="N12" s="458">
        <f t="shared" si="0"/>
        <v>223879</v>
      </c>
      <c r="P12" s="458">
        <f t="shared" si="1"/>
        <v>246084</v>
      </c>
    </row>
    <row r="13" spans="1:20" s="445" customFormat="1" ht="15.75" customHeight="1">
      <c r="A13" s="451" t="s">
        <v>477</v>
      </c>
      <c r="B13" s="459">
        <v>8069</v>
      </c>
      <c r="C13" s="460"/>
      <c r="D13" s="459">
        <v>142156</v>
      </c>
      <c r="E13" s="451"/>
      <c r="F13" s="496">
        <v>10666</v>
      </c>
      <c r="G13" s="451"/>
      <c r="H13" s="464">
        <v>11903</v>
      </c>
      <c r="J13" s="456">
        <v>20736</v>
      </c>
      <c r="K13" s="457"/>
      <c r="L13" s="456">
        <v>228673</v>
      </c>
      <c r="N13" s="458">
        <f t="shared" si="0"/>
        <v>18139</v>
      </c>
      <c r="P13" s="458">
        <f t="shared" si="1"/>
        <v>358926</v>
      </c>
    </row>
    <row r="14" spans="1:20" s="445" customFormat="1" ht="15.75" customHeight="1">
      <c r="A14" s="451" t="s">
        <v>478</v>
      </c>
      <c r="B14" s="459">
        <v>25142</v>
      </c>
      <c r="C14" s="460"/>
      <c r="D14" s="464">
        <v>-70077</v>
      </c>
      <c r="E14" s="451"/>
      <c r="F14" s="461">
        <v>84833</v>
      </c>
      <c r="G14" s="451"/>
      <c r="H14" s="461">
        <v>14320</v>
      </c>
      <c r="J14" s="456">
        <v>76635</v>
      </c>
      <c r="K14" s="457"/>
      <c r="L14" s="456">
        <v>244076</v>
      </c>
      <c r="N14" s="458">
        <f t="shared" si="0"/>
        <v>16944</v>
      </c>
      <c r="P14" s="458">
        <f t="shared" si="1"/>
        <v>159679</v>
      </c>
    </row>
    <row r="15" spans="1:20" s="445" customFormat="1" ht="15.75" customHeight="1">
      <c r="A15" s="451" t="s">
        <v>479</v>
      </c>
      <c r="B15" s="461">
        <v>-3432</v>
      </c>
      <c r="C15" s="460"/>
      <c r="D15" s="464">
        <v>-76746</v>
      </c>
      <c r="E15" s="451"/>
      <c r="F15" s="461">
        <v>-1802</v>
      </c>
      <c r="G15" s="451"/>
      <c r="H15" s="461">
        <v>43213</v>
      </c>
      <c r="J15" s="461">
        <v>-25443</v>
      </c>
      <c r="K15" s="457"/>
      <c r="L15" s="461">
        <v>-197680</v>
      </c>
      <c r="N15" s="458">
        <f t="shared" si="0"/>
        <v>-27073</v>
      </c>
      <c r="P15" s="458">
        <f t="shared" si="1"/>
        <v>-317639</v>
      </c>
      <c r="R15" s="457"/>
      <c r="S15" s="457"/>
      <c r="T15" s="457"/>
    </row>
    <row r="16" spans="1:20" s="445" customFormat="1" ht="15.75" customHeight="1">
      <c r="A16" s="451" t="s">
        <v>480</v>
      </c>
      <c r="B16" s="465">
        <v>6386</v>
      </c>
      <c r="C16" s="460"/>
      <c r="D16" s="465">
        <v>37283</v>
      </c>
      <c r="E16" s="451"/>
      <c r="F16" s="466">
        <v>44943</v>
      </c>
      <c r="G16" s="451"/>
      <c r="H16" s="466">
        <v>52434</v>
      </c>
      <c r="J16" s="467">
        <v>120896</v>
      </c>
      <c r="K16" s="468"/>
      <c r="L16" s="467">
        <v>82055</v>
      </c>
      <c r="N16" s="458">
        <f t="shared" si="0"/>
        <v>82339</v>
      </c>
      <c r="P16" s="458">
        <f t="shared" si="1"/>
        <v>66904</v>
      </c>
    </row>
    <row r="17" spans="1:18" s="445" customFormat="1" ht="15.75" customHeight="1">
      <c r="A17" s="451"/>
      <c r="B17" s="460"/>
      <c r="C17" s="460"/>
      <c r="D17" s="460"/>
      <c r="E17" s="451"/>
      <c r="F17" s="469"/>
      <c r="G17" s="451"/>
      <c r="H17" s="470"/>
      <c r="J17" s="457"/>
      <c r="K17" s="457"/>
      <c r="L17" s="457"/>
    </row>
    <row r="18" spans="1:18" s="445" customFormat="1" ht="15.75" customHeight="1">
      <c r="A18" s="471" t="s">
        <v>481</v>
      </c>
      <c r="B18" s="466">
        <f>SUM(B11:B17)</f>
        <v>1204673</v>
      </c>
      <c r="C18" s="471"/>
      <c r="D18" s="466">
        <f>SUM(D11:D17)</f>
        <v>1328980</v>
      </c>
      <c r="E18" s="471"/>
      <c r="F18" s="466">
        <f>SUM(F11:F17)</f>
        <v>990725</v>
      </c>
      <c r="G18" s="471"/>
      <c r="H18" s="466">
        <f>SUM(H11:H17)</f>
        <v>1279977</v>
      </c>
      <c r="J18" s="472">
        <f>SUM(J11:J17)</f>
        <v>2518726</v>
      </c>
      <c r="K18" s="457"/>
      <c r="L18" s="472">
        <f>SUM(L11:L17)</f>
        <v>2963471</v>
      </c>
      <c r="R18" s="457"/>
    </row>
    <row r="19" spans="1:18" s="445" customFormat="1" ht="15.75" customHeight="1">
      <c r="B19" s="457"/>
      <c r="C19" s="457"/>
      <c r="D19" s="457"/>
      <c r="F19" s="473"/>
      <c r="H19" s="473"/>
      <c r="J19" s="457"/>
      <c r="K19" s="457"/>
      <c r="L19" s="457"/>
    </row>
    <row r="20" spans="1:18" s="445" customFormat="1" ht="16.5" customHeight="1">
      <c r="A20" s="450" t="s">
        <v>482</v>
      </c>
      <c r="B20" s="474"/>
      <c r="C20" s="474"/>
      <c r="D20" s="474"/>
      <c r="E20" s="450"/>
      <c r="F20" s="473"/>
      <c r="H20" s="473"/>
      <c r="J20" s="457"/>
      <c r="K20" s="457"/>
      <c r="L20" s="457"/>
    </row>
    <row r="21" spans="1:18" s="445" customFormat="1" ht="18.75" customHeight="1">
      <c r="A21" s="451" t="s">
        <v>483</v>
      </c>
      <c r="B21" s="466">
        <v>789036</v>
      </c>
      <c r="C21" s="460"/>
      <c r="D21" s="466">
        <v>856848</v>
      </c>
      <c r="E21" s="451"/>
      <c r="F21" s="466">
        <v>576907</v>
      </c>
      <c r="G21" s="451"/>
      <c r="H21" s="466">
        <v>811493.68</v>
      </c>
      <c r="J21" s="475">
        <v>1658049</v>
      </c>
      <c r="K21" s="457"/>
      <c r="L21" s="475">
        <v>1536721</v>
      </c>
      <c r="N21" s="458">
        <f>B21+J21-F21</f>
        <v>1870178</v>
      </c>
      <c r="P21" s="458">
        <f>D21+L21-H21</f>
        <v>1582075.3199999998</v>
      </c>
    </row>
    <row r="22" spans="1:18" s="445" customFormat="1" ht="15.75" customHeight="1">
      <c r="A22" s="476" t="s">
        <v>484</v>
      </c>
      <c r="B22" s="464">
        <f>+B18-B21</f>
        <v>415637</v>
      </c>
      <c r="C22" s="464"/>
      <c r="D22" s="464">
        <f>+D18-D21</f>
        <v>472132</v>
      </c>
      <c r="E22" s="476"/>
      <c r="F22" s="464">
        <f>+F18-F21</f>
        <v>413818</v>
      </c>
      <c r="G22" s="464"/>
      <c r="H22" s="464">
        <f>+H18-H21</f>
        <v>468483.31999999995</v>
      </c>
      <c r="J22" s="464">
        <f>+J18-J21</f>
        <v>860677</v>
      </c>
      <c r="K22" s="457"/>
      <c r="L22" s="464">
        <f>+L18-L21</f>
        <v>1426750</v>
      </c>
    </row>
    <row r="23" spans="1:18" s="445" customFormat="1" ht="15.75" customHeight="1">
      <c r="B23" s="457"/>
      <c r="C23" s="457"/>
      <c r="D23" s="457"/>
      <c r="F23" s="461"/>
      <c r="H23" s="464"/>
      <c r="J23" s="457"/>
      <c r="K23" s="457"/>
      <c r="L23" s="457"/>
    </row>
    <row r="24" spans="1:18" s="445" customFormat="1" ht="15.75" customHeight="1">
      <c r="A24" s="450" t="s">
        <v>485</v>
      </c>
      <c r="B24" s="474"/>
      <c r="C24" s="474"/>
      <c r="D24" s="474"/>
      <c r="E24" s="450"/>
      <c r="F24" s="461"/>
      <c r="H24" s="464"/>
      <c r="J24" s="457"/>
      <c r="K24" s="457"/>
      <c r="L24" s="457"/>
    </row>
    <row r="25" spans="1:18" s="445" customFormat="1" ht="15.75" customHeight="1">
      <c r="A25" s="445" t="s">
        <v>486</v>
      </c>
      <c r="B25" s="461">
        <v>184558</v>
      </c>
      <c r="C25" s="457"/>
      <c r="D25" s="461">
        <v>199408</v>
      </c>
      <c r="F25" s="495">
        <v>219932</v>
      </c>
      <c r="H25" s="461">
        <v>184365</v>
      </c>
      <c r="J25" s="461">
        <v>337310</v>
      </c>
      <c r="K25" s="457"/>
      <c r="L25" s="461">
        <v>356847</v>
      </c>
      <c r="N25" s="458">
        <f t="shared" ref="N25:N38" si="2">B25+J25-F25</f>
        <v>301936</v>
      </c>
      <c r="P25" s="458">
        <f t="shared" ref="P25:P38" si="3">D25+L25-H25</f>
        <v>371890</v>
      </c>
      <c r="Q25" s="477"/>
      <c r="R25" s="477"/>
    </row>
    <row r="26" spans="1:18" s="445" customFormat="1" ht="15.75" customHeight="1">
      <c r="A26" s="445" t="s">
        <v>487</v>
      </c>
      <c r="B26" s="461">
        <v>6508</v>
      </c>
      <c r="C26" s="457"/>
      <c r="D26" s="461">
        <v>17822</v>
      </c>
      <c r="F26" s="495">
        <v>9137</v>
      </c>
      <c r="H26" s="461">
        <v>10336</v>
      </c>
      <c r="J26" s="461">
        <v>27413</v>
      </c>
      <c r="K26" s="457"/>
      <c r="L26" s="461">
        <v>19641</v>
      </c>
      <c r="N26" s="458">
        <f t="shared" si="2"/>
        <v>24784</v>
      </c>
      <c r="P26" s="458">
        <f t="shared" si="3"/>
        <v>27127</v>
      </c>
      <c r="Q26" s="477"/>
      <c r="R26" s="477"/>
    </row>
    <row r="27" spans="1:18" s="445" customFormat="1" ht="15.75" customHeight="1">
      <c r="A27" s="445" t="s">
        <v>488</v>
      </c>
      <c r="B27" s="461">
        <v>15000</v>
      </c>
      <c r="C27" s="457"/>
      <c r="D27" s="461">
        <v>15000</v>
      </c>
      <c r="F27" s="495">
        <v>15022</v>
      </c>
      <c r="H27" s="461">
        <v>15000</v>
      </c>
      <c r="J27" s="461">
        <v>30000</v>
      </c>
      <c r="K27" s="457"/>
      <c r="L27" s="461">
        <v>30000</v>
      </c>
      <c r="N27" s="458">
        <f t="shared" si="2"/>
        <v>29978</v>
      </c>
      <c r="P27" s="458">
        <f t="shared" si="3"/>
        <v>30000</v>
      </c>
      <c r="Q27" s="477"/>
      <c r="R27" s="477"/>
    </row>
    <row r="28" spans="1:18" s="445" customFormat="1" ht="15.75" customHeight="1">
      <c r="A28" s="445" t="s">
        <v>489</v>
      </c>
      <c r="B28" s="461">
        <v>21047</v>
      </c>
      <c r="C28" s="457"/>
      <c r="D28" s="461">
        <v>66547</v>
      </c>
      <c r="F28" s="495">
        <v>29999</v>
      </c>
      <c r="H28" s="461">
        <v>31250</v>
      </c>
      <c r="J28" s="461">
        <v>49155</v>
      </c>
      <c r="K28" s="457"/>
      <c r="L28" s="461">
        <v>63076</v>
      </c>
      <c r="N28" s="458">
        <f t="shared" si="2"/>
        <v>40203</v>
      </c>
      <c r="P28" s="458">
        <f t="shared" si="3"/>
        <v>98373</v>
      </c>
      <c r="Q28" s="477"/>
      <c r="R28" s="477"/>
    </row>
    <row r="29" spans="1:18" s="445" customFormat="1" ht="15.75" customHeight="1">
      <c r="A29" s="445" t="s">
        <v>490</v>
      </c>
      <c r="B29" s="461">
        <v>11325</v>
      </c>
      <c r="C29" s="457"/>
      <c r="D29" s="461">
        <v>3497</v>
      </c>
      <c r="F29" s="461">
        <v>7829</v>
      </c>
      <c r="H29" s="461">
        <v>3497</v>
      </c>
      <c r="J29" s="461">
        <v>14823</v>
      </c>
      <c r="K29" s="457"/>
      <c r="L29" s="461">
        <v>8977</v>
      </c>
      <c r="N29" s="458">
        <f t="shared" si="2"/>
        <v>18319</v>
      </c>
      <c r="P29" s="458">
        <f t="shared" si="3"/>
        <v>8977</v>
      </c>
      <c r="Q29" s="477"/>
      <c r="R29" s="477"/>
    </row>
    <row r="30" spans="1:18" s="445" customFormat="1" ht="15.75" customHeight="1">
      <c r="A30" s="445" t="s">
        <v>491</v>
      </c>
      <c r="B30" s="461">
        <v>13332</v>
      </c>
      <c r="C30" s="457"/>
      <c r="D30" s="461">
        <v>13419</v>
      </c>
      <c r="F30" s="495">
        <v>9515</v>
      </c>
      <c r="H30" s="461">
        <v>12986</v>
      </c>
      <c r="J30" s="461">
        <v>29280</v>
      </c>
      <c r="K30" s="457"/>
      <c r="L30" s="461">
        <v>46597</v>
      </c>
      <c r="N30" s="458">
        <f t="shared" si="2"/>
        <v>33097</v>
      </c>
      <c r="P30" s="458">
        <f t="shared" si="3"/>
        <v>47030</v>
      </c>
      <c r="Q30" s="477"/>
      <c r="R30" s="477"/>
    </row>
    <row r="31" spans="1:18" s="445" customFormat="1" ht="15.75" customHeight="1">
      <c r="A31" s="445" t="s">
        <v>492</v>
      </c>
      <c r="B31" s="461">
        <v>77628</v>
      </c>
      <c r="C31" s="457"/>
      <c r="D31" s="461">
        <v>20644</v>
      </c>
      <c r="F31" s="495">
        <v>77628</v>
      </c>
      <c r="H31" s="461">
        <v>51752</v>
      </c>
      <c r="J31" s="461">
        <v>129381</v>
      </c>
      <c r="K31" s="457"/>
      <c r="L31" s="461">
        <v>49919</v>
      </c>
      <c r="N31" s="458">
        <f t="shared" si="2"/>
        <v>129381</v>
      </c>
      <c r="P31" s="458">
        <f t="shared" si="3"/>
        <v>18811</v>
      </c>
      <c r="Q31" s="477"/>
      <c r="R31" s="477"/>
    </row>
    <row r="32" spans="1:18" s="445" customFormat="1" ht="15.75" customHeight="1">
      <c r="A32" s="445" t="s">
        <v>493</v>
      </c>
      <c r="B32" s="461">
        <v>1632</v>
      </c>
      <c r="C32" s="457"/>
      <c r="D32" s="461">
        <v>20211</v>
      </c>
      <c r="F32" s="461">
        <v>2511</v>
      </c>
      <c r="H32" s="461">
        <v>895</v>
      </c>
      <c r="J32" s="461">
        <v>4954</v>
      </c>
      <c r="K32" s="457"/>
      <c r="L32" s="461">
        <v>53415</v>
      </c>
      <c r="N32" s="458">
        <f t="shared" si="2"/>
        <v>4075</v>
      </c>
      <c r="P32" s="458">
        <f t="shared" si="3"/>
        <v>72731</v>
      </c>
      <c r="Q32" s="477"/>
      <c r="R32" s="477"/>
    </row>
    <row r="33" spans="1:19" s="445" customFormat="1" ht="15.75" customHeight="1">
      <c r="A33" s="445" t="s">
        <v>494</v>
      </c>
      <c r="B33" s="461">
        <v>93</v>
      </c>
      <c r="C33" s="457"/>
      <c r="D33" s="461">
        <v>0</v>
      </c>
      <c r="F33" s="461">
        <v>114</v>
      </c>
      <c r="H33" s="461">
        <v>0</v>
      </c>
      <c r="J33" s="461">
        <v>304</v>
      </c>
      <c r="K33" s="457"/>
      <c r="L33" s="461">
        <v>155</v>
      </c>
      <c r="N33" s="458">
        <f t="shared" si="2"/>
        <v>283</v>
      </c>
      <c r="P33" s="458">
        <f t="shared" si="3"/>
        <v>155</v>
      </c>
      <c r="Q33" s="477"/>
      <c r="R33" s="477"/>
    </row>
    <row r="34" spans="1:19" s="445" customFormat="1" ht="15.75" customHeight="1">
      <c r="A34" s="445" t="s">
        <v>495</v>
      </c>
      <c r="B34" s="461">
        <v>0</v>
      </c>
      <c r="C34" s="457"/>
      <c r="D34" s="461">
        <v>1500</v>
      </c>
      <c r="F34" s="461">
        <v>1125</v>
      </c>
      <c r="H34" s="461">
        <v>0</v>
      </c>
      <c r="J34" s="461">
        <v>3791</v>
      </c>
      <c r="K34" s="457"/>
      <c r="L34" s="461">
        <v>2291</v>
      </c>
      <c r="N34" s="458">
        <f t="shared" si="2"/>
        <v>2666</v>
      </c>
      <c r="P34" s="458">
        <f t="shared" si="3"/>
        <v>3791</v>
      </c>
      <c r="Q34" s="477"/>
      <c r="R34" s="477"/>
    </row>
    <row r="35" spans="1:19" s="445" customFormat="1" ht="15.75" customHeight="1">
      <c r="A35" s="445" t="s">
        <v>496</v>
      </c>
      <c r="B35" s="461">
        <v>0</v>
      </c>
      <c r="C35" s="457"/>
      <c r="D35" s="461">
        <v>1355</v>
      </c>
      <c r="F35" s="461">
        <v>18.75</v>
      </c>
      <c r="H35" s="461">
        <v>4078</v>
      </c>
      <c r="J35" s="461">
        <v>4189</v>
      </c>
      <c r="K35" s="457"/>
      <c r="L35" s="461">
        <v>184</v>
      </c>
      <c r="N35" s="458">
        <f>B35+J35-F35</f>
        <v>4170.25</v>
      </c>
      <c r="P35" s="458">
        <f t="shared" si="3"/>
        <v>-2539</v>
      </c>
      <c r="Q35" s="477"/>
      <c r="R35" s="477"/>
    </row>
    <row r="36" spans="1:19" s="445" customFormat="1" ht="15.75" customHeight="1">
      <c r="A36" s="445" t="s">
        <v>497</v>
      </c>
      <c r="B36" s="461">
        <v>0</v>
      </c>
      <c r="C36" s="457"/>
      <c r="D36" s="461">
        <v>0</v>
      </c>
      <c r="F36" s="461">
        <v>0</v>
      </c>
      <c r="H36" s="461">
        <v>792</v>
      </c>
      <c r="J36" s="461">
        <v>9459</v>
      </c>
      <c r="K36" s="457"/>
      <c r="L36" s="461">
        <v>8423</v>
      </c>
      <c r="N36" s="458">
        <f>B36+J36-F36</f>
        <v>9459</v>
      </c>
      <c r="P36" s="458">
        <f t="shared" si="3"/>
        <v>7631</v>
      </c>
      <c r="Q36" s="477"/>
      <c r="R36" s="477"/>
    </row>
    <row r="37" spans="1:19" s="445" customFormat="1" ht="15.75" customHeight="1">
      <c r="A37" s="445" t="s">
        <v>498</v>
      </c>
      <c r="B37" s="461">
        <v>30760</v>
      </c>
      <c r="C37" s="457"/>
      <c r="D37" s="461">
        <v>7471</v>
      </c>
      <c r="F37" s="461">
        <v>36480</v>
      </c>
      <c r="H37" s="461">
        <v>30535</v>
      </c>
      <c r="J37" s="461">
        <v>73325</v>
      </c>
      <c r="K37" s="457"/>
      <c r="L37" s="461">
        <v>15615</v>
      </c>
      <c r="N37" s="458">
        <f>B37+J37-F37</f>
        <v>67605</v>
      </c>
      <c r="P37" s="458">
        <f>D37+L37-H37</f>
        <v>-7449</v>
      </c>
      <c r="Q37" s="477"/>
      <c r="R37" s="477"/>
    </row>
    <row r="38" spans="1:19" s="445" customFormat="1" ht="17.25" customHeight="1">
      <c r="A38" s="445" t="s">
        <v>499</v>
      </c>
      <c r="B38" s="478">
        <v>10470</v>
      </c>
      <c r="C38" s="457"/>
      <c r="D38" s="461">
        <v>6882</v>
      </c>
      <c r="F38" s="475">
        <v>14117</v>
      </c>
      <c r="H38" s="479">
        <v>13009</v>
      </c>
      <c r="J38" s="475">
        <v>22944</v>
      </c>
      <c r="K38" s="457"/>
      <c r="L38" s="479">
        <v>18402</v>
      </c>
      <c r="N38" s="458">
        <f t="shared" si="2"/>
        <v>19297</v>
      </c>
      <c r="P38" s="458">
        <f t="shared" si="3"/>
        <v>12275</v>
      </c>
      <c r="Q38" s="477"/>
      <c r="R38" s="477"/>
    </row>
    <row r="39" spans="1:19" s="445" customFormat="1" ht="15.75" customHeight="1">
      <c r="A39" s="476" t="s">
        <v>44</v>
      </c>
      <c r="B39" s="480">
        <f>SUM(B25:B38)</f>
        <v>372353</v>
      </c>
      <c r="C39" s="481"/>
      <c r="D39" s="480">
        <f>SUM(D25:D38)</f>
        <v>373756</v>
      </c>
      <c r="E39" s="476"/>
      <c r="F39" s="475">
        <f>SUM(F25:F38)</f>
        <v>423427.75</v>
      </c>
      <c r="G39" s="476"/>
      <c r="H39" s="475">
        <f>SUM(H25:H38)</f>
        <v>358495</v>
      </c>
      <c r="J39" s="475">
        <f>SUM(J25:J38)</f>
        <v>736328</v>
      </c>
      <c r="K39" s="457"/>
      <c r="L39" s="475">
        <f>SUM(L25:L38)</f>
        <v>673542</v>
      </c>
      <c r="N39" s="482"/>
      <c r="Q39" s="482"/>
      <c r="R39" s="482"/>
      <c r="S39" s="482"/>
    </row>
    <row r="40" spans="1:19" s="445" customFormat="1" ht="15.75" customHeight="1">
      <c r="A40" s="476"/>
      <c r="B40" s="470"/>
      <c r="C40" s="481"/>
      <c r="D40" s="470"/>
      <c r="E40" s="476"/>
      <c r="F40" s="475"/>
      <c r="G40" s="476"/>
      <c r="H40" s="475"/>
      <c r="J40" s="475"/>
      <c r="K40" s="457"/>
      <c r="L40" s="475"/>
      <c r="N40" s="482"/>
      <c r="Q40" s="482"/>
      <c r="R40" s="482"/>
      <c r="S40" s="482"/>
    </row>
    <row r="41" spans="1:19" s="445" customFormat="1" ht="15.75" customHeight="1">
      <c r="A41" s="476" t="s">
        <v>500</v>
      </c>
      <c r="B41" s="483">
        <f>B18-B21-B39</f>
        <v>43284</v>
      </c>
      <c r="C41" s="484"/>
      <c r="D41" s="483">
        <f>D18-D21-D39</f>
        <v>98376</v>
      </c>
      <c r="E41" s="484"/>
      <c r="F41" s="483">
        <f>F18-F21-F39</f>
        <v>-9609.75</v>
      </c>
      <c r="G41" s="484"/>
      <c r="H41" s="483">
        <f>H18-H21-H39</f>
        <v>109988.31999999995</v>
      </c>
      <c r="J41" s="475"/>
      <c r="K41" s="457"/>
      <c r="L41" s="475"/>
      <c r="N41" s="482"/>
      <c r="Q41" s="482"/>
      <c r="R41" s="482"/>
      <c r="S41" s="482"/>
    </row>
    <row r="42" spans="1:19" s="445" customFormat="1" ht="15.75" customHeight="1">
      <c r="A42" s="476" t="s">
        <v>501</v>
      </c>
      <c r="B42" s="470">
        <v>0</v>
      </c>
      <c r="C42" s="481"/>
      <c r="D42" s="470">
        <v>0</v>
      </c>
      <c r="E42" s="476"/>
      <c r="F42" s="464">
        <v>0</v>
      </c>
      <c r="G42" s="476"/>
      <c r="H42" s="464">
        <v>0</v>
      </c>
      <c r="J42" s="475"/>
      <c r="K42" s="457"/>
      <c r="L42" s="475"/>
      <c r="N42" s="482"/>
      <c r="Q42" s="482"/>
      <c r="R42" s="482"/>
      <c r="S42" s="482"/>
    </row>
    <row r="43" spans="1:19" s="445" customFormat="1" ht="15.75" customHeight="1">
      <c r="B43" s="457"/>
      <c r="C43" s="457"/>
      <c r="D43" s="457"/>
      <c r="F43" s="473"/>
      <c r="H43" s="473"/>
      <c r="J43" s="457"/>
    </row>
    <row r="44" spans="1:19" s="445" customFormat="1" ht="20.25" customHeight="1" thickBot="1">
      <c r="A44" s="450" t="s">
        <v>502</v>
      </c>
      <c r="B44" s="485">
        <f>B18-B21-B39</f>
        <v>43284</v>
      </c>
      <c r="C44" s="486"/>
      <c r="D44" s="485">
        <f>D18-D21-D39</f>
        <v>98376</v>
      </c>
      <c r="E44" s="486"/>
      <c r="F44" s="487">
        <f>F18-F21-F39</f>
        <v>-9609.75</v>
      </c>
      <c r="G44" s="488"/>
      <c r="H44" s="487">
        <f>H18-H21-H39</f>
        <v>109988.31999999995</v>
      </c>
      <c r="I44" s="489"/>
      <c r="J44" s="490">
        <f>J18-J21-J39</f>
        <v>124349</v>
      </c>
      <c r="K44" s="489"/>
      <c r="L44" s="490">
        <f>L18-L21-L39</f>
        <v>753208</v>
      </c>
      <c r="N44" s="458">
        <f>B44+J44-F44</f>
        <v>177242.75</v>
      </c>
      <c r="P44" s="458">
        <f>D44+L44-H44</f>
        <v>741595.68</v>
      </c>
    </row>
    <row r="45" spans="1:19" ht="15.75" thickTop="1">
      <c r="B45" s="491"/>
      <c r="C45" s="491"/>
    </row>
    <row r="47" spans="1:19">
      <c r="H47" s="492"/>
    </row>
    <row r="48" spans="1:19">
      <c r="D48" s="493"/>
    </row>
    <row r="52" spans="1:7">
      <c r="A52" s="494"/>
      <c r="B52" s="494"/>
      <c r="C52" s="494"/>
      <c r="D52" s="494"/>
      <c r="E52" s="494"/>
      <c r="F52" s="494"/>
      <c r="G52" s="494"/>
    </row>
  </sheetData>
  <mergeCells count="4">
    <mergeCell ref="B6:D6"/>
    <mergeCell ref="F6:H6"/>
    <mergeCell ref="F7:H7"/>
    <mergeCell ref="N9:P9"/>
  </mergeCells>
  <printOptions horizontalCentered="1"/>
  <pageMargins left="0.78740157480314965" right="0.78740157480314965" top="0.78740157480314965" bottom="0.74803149606299213" header="0" footer="0.51181102362204722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G211"/>
  <sheetViews>
    <sheetView view="pageBreakPreview" zoomScale="80" zoomScaleNormal="80" zoomScaleSheetLayoutView="80" workbookViewId="0">
      <pane xSplit="1" ySplit="5" topLeftCell="B201" activePane="bottomRight" state="frozen"/>
      <selection pane="topRight" activeCell="B1" sqref="B1"/>
      <selection pane="bottomLeft" activeCell="A6" sqref="A6"/>
      <selection pane="bottomRight" activeCell="J62" sqref="J62:J63"/>
    </sheetView>
  </sheetViews>
  <sheetFormatPr baseColWidth="10" defaultColWidth="9.140625" defaultRowHeight="12.75"/>
  <cols>
    <col min="1" max="1" width="46.140625" style="3" customWidth="1"/>
    <col min="2" max="2" width="9.5703125" style="3" customWidth="1"/>
    <col min="3" max="3" width="20.7109375" style="273" customWidth="1"/>
    <col min="4" max="4" width="15.7109375" style="119" customWidth="1"/>
    <col min="5" max="6" width="15.7109375" style="158" customWidth="1"/>
    <col min="7" max="7" width="15.7109375" style="250" customWidth="1"/>
    <col min="8" max="9" width="21.5703125" style="250" customWidth="1"/>
    <col min="10" max="10" width="22.7109375" style="276" customWidth="1"/>
    <col min="11" max="11" width="21.5703125" style="312" customWidth="1"/>
    <col min="12" max="12" width="10.28515625" style="3" customWidth="1"/>
    <col min="13" max="13" width="23.85546875" style="3" customWidth="1"/>
    <col min="14" max="14" width="6.7109375" style="3" customWidth="1"/>
    <col min="15" max="15" width="10.28515625" style="734" customWidth="1"/>
    <col min="16" max="31" width="10.28515625" style="3" customWidth="1"/>
    <col min="32" max="32" width="15.140625" style="3" bestFit="1" customWidth="1"/>
    <col min="33" max="16384" width="9.140625" style="3"/>
  </cols>
  <sheetData>
    <row r="1" spans="1:33" ht="18">
      <c r="A1" s="135" t="s">
        <v>138</v>
      </c>
      <c r="B1" s="136"/>
      <c r="C1" s="136"/>
      <c r="D1" s="277"/>
      <c r="E1" s="137"/>
      <c r="F1" s="137"/>
      <c r="G1" s="137"/>
      <c r="H1" s="138"/>
      <c r="I1" s="139"/>
      <c r="J1" s="139"/>
      <c r="K1" s="403"/>
    </row>
    <row r="2" spans="1:33" ht="18">
      <c r="A2" s="141" t="s">
        <v>139</v>
      </c>
      <c r="B2" s="142"/>
      <c r="C2" s="142"/>
      <c r="D2" s="278"/>
      <c r="E2" s="139"/>
      <c r="F2" s="139"/>
      <c r="G2" s="139"/>
      <c r="H2" s="144"/>
      <c r="I2" s="143"/>
      <c r="J2" s="139"/>
      <c r="K2" s="403"/>
    </row>
    <row r="3" spans="1:33" ht="21.75" customHeight="1">
      <c r="A3" s="145">
        <v>43008</v>
      </c>
      <c r="B3" s="146"/>
      <c r="C3" s="146"/>
      <c r="D3" s="279"/>
      <c r="E3" s="147"/>
      <c r="F3" s="147"/>
      <c r="G3" s="147"/>
      <c r="H3" s="148"/>
      <c r="I3" s="147"/>
      <c r="J3" s="147"/>
      <c r="K3" s="404" t="s">
        <v>454</v>
      </c>
    </row>
    <row r="4" spans="1:33" ht="21" customHeight="1">
      <c r="A4" s="1025"/>
      <c r="B4" s="1027" t="s">
        <v>3</v>
      </c>
      <c r="C4" s="149"/>
      <c r="D4" s="1029" t="s">
        <v>140</v>
      </c>
      <c r="E4" s="150" t="s">
        <v>141</v>
      </c>
      <c r="F4" s="151"/>
      <c r="G4" s="152"/>
      <c r="H4" s="1031" t="s">
        <v>59</v>
      </c>
      <c r="I4" s="1033" t="s">
        <v>142</v>
      </c>
      <c r="J4" s="1033" t="s">
        <v>832</v>
      </c>
      <c r="K4" s="1035" t="s">
        <v>59</v>
      </c>
    </row>
    <row r="5" spans="1:33" ht="42.75" customHeight="1">
      <c r="A5" s="1026"/>
      <c r="B5" s="1028"/>
      <c r="C5" s="146"/>
      <c r="D5" s="1030"/>
      <c r="E5" s="146" t="s">
        <v>143</v>
      </c>
      <c r="F5" s="146" t="s">
        <v>144</v>
      </c>
      <c r="G5" s="146" t="s">
        <v>51</v>
      </c>
      <c r="H5" s="1032"/>
      <c r="I5" s="1034"/>
      <c r="J5" s="1034"/>
      <c r="K5" s="1036"/>
      <c r="M5" s="3" t="s">
        <v>509</v>
      </c>
      <c r="O5" s="734" t="s">
        <v>508</v>
      </c>
    </row>
    <row r="6" spans="1:33">
      <c r="A6" s="153" t="s">
        <v>145</v>
      </c>
      <c r="B6" s="136"/>
      <c r="C6" s="136"/>
      <c r="D6" s="280"/>
      <c r="E6" s="155"/>
      <c r="F6" s="155"/>
      <c r="G6" s="155"/>
      <c r="H6" s="156"/>
      <c r="I6" s="157"/>
      <c r="J6" s="157"/>
      <c r="K6" s="298"/>
      <c r="M6" s="3" t="s">
        <v>82</v>
      </c>
      <c r="O6" s="734" t="s">
        <v>82</v>
      </c>
    </row>
    <row r="7" spans="1:33">
      <c r="A7" s="158" t="s">
        <v>82</v>
      </c>
      <c r="B7" s="159" t="s">
        <v>146</v>
      </c>
      <c r="C7" s="160">
        <v>10101</v>
      </c>
      <c r="D7" s="280">
        <f t="shared" ref="D7:D12" si="0">G7-F7+E7</f>
        <v>0</v>
      </c>
      <c r="E7" s="155"/>
      <c r="F7" s="155"/>
      <c r="G7" s="157">
        <f>+H7+J7</f>
        <v>0</v>
      </c>
      <c r="H7" s="156">
        <v>0</v>
      </c>
      <c r="I7" s="157">
        <v>0</v>
      </c>
      <c r="J7" s="157"/>
      <c r="K7" s="298">
        <f t="shared" ref="K7:K12" si="1">+ROUND(D7,0)</f>
        <v>0</v>
      </c>
      <c r="AF7" s="140"/>
      <c r="AG7" s="161"/>
    </row>
    <row r="8" spans="1:33">
      <c r="A8" s="153" t="s">
        <v>25</v>
      </c>
      <c r="B8" s="136"/>
      <c r="C8" s="136"/>
      <c r="D8" s="280">
        <f t="shared" si="0"/>
        <v>0</v>
      </c>
      <c r="E8" s="155"/>
      <c r="F8" s="155"/>
      <c r="G8" s="157">
        <f>SUM(H8:J8)</f>
        <v>0</v>
      </c>
      <c r="H8" s="156"/>
      <c r="I8" s="157">
        <v>0</v>
      </c>
      <c r="J8" s="157"/>
      <c r="K8" s="298">
        <f t="shared" si="1"/>
        <v>0</v>
      </c>
      <c r="AF8" s="140"/>
      <c r="AG8" s="161"/>
    </row>
    <row r="9" spans="1:33">
      <c r="A9" s="158" t="s">
        <v>6</v>
      </c>
      <c r="B9" s="159" t="s">
        <v>147</v>
      </c>
      <c r="C9" s="160" t="s">
        <v>148</v>
      </c>
      <c r="D9" s="280">
        <f>G9-F9+E9</f>
        <v>1449230.68</v>
      </c>
      <c r="E9" s="155"/>
      <c r="F9" s="155"/>
      <c r="G9" s="157">
        <f t="shared" ref="G9:G21" si="2">+H9+J9</f>
        <v>1449230.68</v>
      </c>
      <c r="H9" s="156">
        <v>1449230.68</v>
      </c>
      <c r="I9" s="157">
        <v>0</v>
      </c>
      <c r="J9" s="157">
        <v>0</v>
      </c>
      <c r="K9" s="298">
        <f t="shared" si="1"/>
        <v>1449231</v>
      </c>
      <c r="M9" s="3" t="s">
        <v>198</v>
      </c>
      <c r="O9" s="734" t="s">
        <v>6</v>
      </c>
      <c r="AF9" s="140"/>
      <c r="AG9" s="161"/>
    </row>
    <row r="10" spans="1:33">
      <c r="A10" s="158" t="s">
        <v>149</v>
      </c>
      <c r="B10" s="159" t="s">
        <v>147</v>
      </c>
      <c r="C10" s="160" t="s">
        <v>150</v>
      </c>
      <c r="D10" s="280">
        <f>G10-F10+E10</f>
        <v>9659136.6899999995</v>
      </c>
      <c r="E10" s="155">
        <v>0</v>
      </c>
      <c r="F10" s="155"/>
      <c r="G10" s="157">
        <f t="shared" si="2"/>
        <v>9659136.6899999995</v>
      </c>
      <c r="H10" s="156">
        <v>9659136.6899999995</v>
      </c>
      <c r="I10" s="157">
        <v>0</v>
      </c>
      <c r="J10" s="157">
        <v>0</v>
      </c>
      <c r="K10" s="298">
        <f t="shared" si="1"/>
        <v>9659137</v>
      </c>
      <c r="M10" s="3" t="s">
        <v>751</v>
      </c>
      <c r="O10" s="734" t="s">
        <v>7</v>
      </c>
      <c r="AF10" s="140"/>
      <c r="AG10" s="161"/>
    </row>
    <row r="11" spans="1:33">
      <c r="A11" s="158" t="s">
        <v>8</v>
      </c>
      <c r="B11" s="159" t="s">
        <v>151</v>
      </c>
      <c r="C11" s="162">
        <v>1022101</v>
      </c>
      <c r="D11" s="280">
        <f t="shared" si="0"/>
        <v>11050000</v>
      </c>
      <c r="E11" s="155"/>
      <c r="F11" s="155"/>
      <c r="G11" s="157">
        <f>+H11+J11+I11</f>
        <v>11050000</v>
      </c>
      <c r="H11" s="156">
        <v>11000000</v>
      </c>
      <c r="I11" s="157">
        <v>50000</v>
      </c>
      <c r="J11" s="157">
        <v>0</v>
      </c>
      <c r="K11" s="298">
        <f t="shared" si="1"/>
        <v>11050000</v>
      </c>
      <c r="M11" s="3" t="s">
        <v>8</v>
      </c>
      <c r="O11" s="734" t="s">
        <v>8</v>
      </c>
      <c r="AF11" s="140"/>
      <c r="AG11" s="161"/>
    </row>
    <row r="12" spans="1:33">
      <c r="A12" s="163" t="s">
        <v>152</v>
      </c>
      <c r="B12" s="164" t="s">
        <v>151</v>
      </c>
      <c r="C12" s="164"/>
      <c r="D12" s="280">
        <f t="shared" si="0"/>
        <v>0</v>
      </c>
      <c r="E12" s="155"/>
      <c r="F12" s="155"/>
      <c r="G12" s="157">
        <f t="shared" si="2"/>
        <v>0</v>
      </c>
      <c r="H12" s="156">
        <v>0</v>
      </c>
      <c r="I12" s="157">
        <v>0</v>
      </c>
      <c r="J12" s="157">
        <v>0</v>
      </c>
      <c r="K12" s="298">
        <f t="shared" si="1"/>
        <v>0</v>
      </c>
    </row>
    <row r="13" spans="1:33">
      <c r="A13" s="165" t="s">
        <v>153</v>
      </c>
      <c r="B13" s="166"/>
      <c r="C13" s="166"/>
      <c r="D13" s="281">
        <f>SUM(D7:D12)</f>
        <v>22158367.369999997</v>
      </c>
      <c r="E13" s="167">
        <f>SUM(E7:E12)</f>
        <v>0</v>
      </c>
      <c r="F13" s="167">
        <f>SUM(F7:F12)</f>
        <v>0</v>
      </c>
      <c r="G13" s="167">
        <f>+H13+J13+I13</f>
        <v>22158367.369999997</v>
      </c>
      <c r="H13" s="168">
        <f>SUM(H7:H12)</f>
        <v>22108367.369999997</v>
      </c>
      <c r="I13" s="167">
        <f>SUM(I7:I12)</f>
        <v>50000</v>
      </c>
      <c r="J13" s="167">
        <f>SUM(J7:J12)</f>
        <v>0</v>
      </c>
      <c r="K13" s="299">
        <f>SUM(K7:K12)</f>
        <v>22158368</v>
      </c>
    </row>
    <row r="14" spans="1:33">
      <c r="A14" s="165"/>
      <c r="B14" s="166"/>
      <c r="C14" s="166"/>
      <c r="D14" s="282"/>
      <c r="E14" s="157"/>
      <c r="F14" s="157"/>
      <c r="G14" s="170">
        <f t="shared" si="2"/>
        <v>0</v>
      </c>
      <c r="H14" s="157"/>
      <c r="I14" s="157"/>
      <c r="J14" s="157"/>
      <c r="K14" s="300"/>
    </row>
    <row r="15" spans="1:33">
      <c r="A15" s="158" t="s">
        <v>83</v>
      </c>
      <c r="B15" s="159"/>
      <c r="C15" s="162">
        <v>1030102</v>
      </c>
      <c r="D15" s="280">
        <f>G15-F15+E15</f>
        <v>15198502.120000001</v>
      </c>
      <c r="E15" s="157"/>
      <c r="F15" s="157"/>
      <c r="G15" s="170">
        <f>+H15+J15+I15</f>
        <v>15198502.120000001</v>
      </c>
      <c r="H15" s="157">
        <v>15198502.120000001</v>
      </c>
      <c r="I15" s="157">
        <v>0</v>
      </c>
      <c r="J15" s="157">
        <v>0</v>
      </c>
      <c r="K15" s="300">
        <f t="shared" ref="K15:K25" si="3">+ROUND(D15,0)</f>
        <v>15198502</v>
      </c>
      <c r="M15" s="3" t="s">
        <v>12</v>
      </c>
      <c r="O15" s="734" t="s">
        <v>83</v>
      </c>
    </row>
    <row r="16" spans="1:33">
      <c r="A16" s="158" t="s">
        <v>154</v>
      </c>
      <c r="B16" s="159" t="s">
        <v>155</v>
      </c>
      <c r="C16" s="162">
        <v>1030203</v>
      </c>
      <c r="D16" s="280">
        <f>G16-F16+E16</f>
        <v>62053.649999999994</v>
      </c>
      <c r="E16" s="157"/>
      <c r="F16" s="157">
        <v>75000</v>
      </c>
      <c r="G16" s="170">
        <f>+H16+J16+I16</f>
        <v>137053.65</v>
      </c>
      <c r="H16" s="157">
        <v>112053.65</v>
      </c>
      <c r="I16" s="157">
        <v>25000</v>
      </c>
      <c r="J16" s="157">
        <v>0</v>
      </c>
      <c r="K16" s="300">
        <f t="shared" si="3"/>
        <v>62054</v>
      </c>
      <c r="M16" s="3" t="s">
        <v>1453</v>
      </c>
      <c r="O16" s="734" t="s">
        <v>1453</v>
      </c>
    </row>
    <row r="17" spans="1:15">
      <c r="A17" s="158" t="s">
        <v>156</v>
      </c>
      <c r="B17" s="159" t="s">
        <v>157</v>
      </c>
      <c r="C17" s="162">
        <v>10304</v>
      </c>
      <c r="D17" s="280">
        <f>G17-F17+E17</f>
        <v>0</v>
      </c>
      <c r="E17" s="157"/>
      <c r="F17" s="157">
        <v>0</v>
      </c>
      <c r="G17" s="170">
        <f t="shared" si="2"/>
        <v>0</v>
      </c>
      <c r="H17" s="157">
        <v>0</v>
      </c>
      <c r="I17" s="157">
        <v>0</v>
      </c>
      <c r="J17" s="157">
        <v>0</v>
      </c>
      <c r="K17" s="300">
        <f t="shared" si="3"/>
        <v>0</v>
      </c>
    </row>
    <row r="18" spans="1:15">
      <c r="A18" s="158" t="s">
        <v>158</v>
      </c>
      <c r="B18" s="159"/>
      <c r="C18" s="159"/>
      <c r="D18" s="280">
        <f>G18-F18+E18</f>
        <v>0</v>
      </c>
      <c r="E18" s="157"/>
      <c r="F18" s="155"/>
      <c r="G18" s="170">
        <f t="shared" si="2"/>
        <v>0</v>
      </c>
      <c r="H18" s="157">
        <v>0</v>
      </c>
      <c r="I18" s="157">
        <v>0</v>
      </c>
      <c r="J18" s="157">
        <v>0</v>
      </c>
      <c r="K18" s="300">
        <f t="shared" si="3"/>
        <v>0</v>
      </c>
    </row>
    <row r="19" spans="1:15">
      <c r="A19" s="153" t="s">
        <v>159</v>
      </c>
      <c r="B19" s="159" t="s">
        <v>160</v>
      </c>
      <c r="C19" s="159"/>
      <c r="D19" s="280"/>
      <c r="E19" s="155"/>
      <c r="F19" s="155"/>
      <c r="G19" s="170">
        <f t="shared" si="2"/>
        <v>0</v>
      </c>
      <c r="H19" s="157">
        <v>0</v>
      </c>
      <c r="I19" s="157">
        <v>0</v>
      </c>
      <c r="J19" s="157">
        <v>0</v>
      </c>
      <c r="K19" s="300">
        <f t="shared" si="3"/>
        <v>0</v>
      </c>
    </row>
    <row r="20" spans="1:15">
      <c r="A20" s="158" t="s">
        <v>161</v>
      </c>
      <c r="B20" s="159"/>
      <c r="C20" s="171">
        <v>1040102</v>
      </c>
      <c r="D20" s="280">
        <f>G20-F20+E20</f>
        <v>0</v>
      </c>
      <c r="E20" s="155"/>
      <c r="F20" s="155">
        <v>0</v>
      </c>
      <c r="G20" s="170">
        <f t="shared" si="2"/>
        <v>0</v>
      </c>
      <c r="H20" s="157">
        <v>0</v>
      </c>
      <c r="I20" s="157">
        <v>0</v>
      </c>
      <c r="J20" s="157">
        <v>0</v>
      </c>
      <c r="K20" s="300">
        <f t="shared" si="3"/>
        <v>0</v>
      </c>
    </row>
    <row r="21" spans="1:15">
      <c r="A21" s="163" t="s">
        <v>162</v>
      </c>
      <c r="B21" s="164"/>
      <c r="C21" s="164"/>
      <c r="D21" s="283">
        <f>G21-F21+E21</f>
        <v>0</v>
      </c>
      <c r="E21" s="173"/>
      <c r="F21" s="173">
        <v>0</v>
      </c>
      <c r="G21" s="157">
        <f t="shared" si="2"/>
        <v>0</v>
      </c>
      <c r="H21" s="174">
        <v>0</v>
      </c>
      <c r="I21" s="173">
        <v>0</v>
      </c>
      <c r="J21" s="173">
        <v>0</v>
      </c>
      <c r="K21" s="301">
        <f t="shared" si="3"/>
        <v>0</v>
      </c>
    </row>
    <row r="22" spans="1:15">
      <c r="A22" s="158"/>
      <c r="B22" s="159"/>
      <c r="C22" s="159"/>
      <c r="D22" s="280">
        <f>SUM(D20:D21)</f>
        <v>0</v>
      </c>
      <c r="E22" s="154">
        <f>SUM(E20:E21)</f>
        <v>0</v>
      </c>
      <c r="F22" s="154">
        <f>SUM(F20:F21)</f>
        <v>0</v>
      </c>
      <c r="G22" s="167">
        <f>SUM(H22:J22)</f>
        <v>0</v>
      </c>
      <c r="H22" s="156">
        <f>SUM(H20:H21)</f>
        <v>0</v>
      </c>
      <c r="I22" s="157">
        <f>SUM(I20:I21)</f>
        <v>0</v>
      </c>
      <c r="J22" s="157">
        <f>SUM(J20:J21)</f>
        <v>0</v>
      </c>
      <c r="K22" s="298">
        <f t="shared" si="3"/>
        <v>0</v>
      </c>
    </row>
    <row r="23" spans="1:15">
      <c r="A23" s="158" t="s">
        <v>163</v>
      </c>
      <c r="B23" s="159"/>
      <c r="C23" s="171">
        <v>10403</v>
      </c>
      <c r="D23" s="280">
        <f>G23-F23+E23</f>
        <v>0</v>
      </c>
      <c r="E23" s="155"/>
      <c r="F23" s="155"/>
      <c r="G23" s="157">
        <f>SUM(H23:J23)</f>
        <v>0</v>
      </c>
      <c r="H23" s="156"/>
      <c r="I23" s="157"/>
      <c r="J23" s="157">
        <v>0</v>
      </c>
      <c r="K23" s="298">
        <f t="shared" si="3"/>
        <v>0</v>
      </c>
    </row>
    <row r="24" spans="1:15">
      <c r="A24" s="158" t="s">
        <v>164</v>
      </c>
      <c r="B24" s="159"/>
      <c r="C24" s="159"/>
      <c r="D24" s="280">
        <f>G24-F24+E24</f>
        <v>0</v>
      </c>
      <c r="E24" s="155"/>
      <c r="F24" s="155"/>
      <c r="G24" s="157">
        <f>SUM(H24:J24)</f>
        <v>0</v>
      </c>
      <c r="H24" s="156"/>
      <c r="I24" s="157"/>
      <c r="J24" s="157"/>
      <c r="K24" s="298">
        <f t="shared" si="3"/>
        <v>0</v>
      </c>
    </row>
    <row r="25" spans="1:15">
      <c r="A25" s="165" t="s">
        <v>165</v>
      </c>
      <c r="B25" s="159"/>
      <c r="C25" s="171" t="s">
        <v>166</v>
      </c>
      <c r="D25" s="280">
        <f>G25-F25+E25</f>
        <v>0</v>
      </c>
      <c r="E25" s="155"/>
      <c r="F25" s="155"/>
      <c r="G25" s="157">
        <f>SUM(H25:J25)</f>
        <v>0</v>
      </c>
      <c r="H25" s="156"/>
      <c r="I25" s="157"/>
      <c r="J25" s="157">
        <v>0</v>
      </c>
      <c r="K25" s="298">
        <f t="shared" si="3"/>
        <v>0</v>
      </c>
    </row>
    <row r="26" spans="1:15">
      <c r="A26" s="175" t="s">
        <v>167</v>
      </c>
      <c r="B26" s="176"/>
      <c r="C26" s="176"/>
      <c r="D26" s="284">
        <f>SUM(D22-D23-D24-D25)</f>
        <v>0</v>
      </c>
      <c r="E26" s="177">
        <f>SUM(E22-E23-E24)</f>
        <v>0</v>
      </c>
      <c r="F26" s="177">
        <f>SUM(F22-F23-F24)</f>
        <v>0</v>
      </c>
      <c r="G26" s="177">
        <f>SUM(G22-G23-G24-G25)</f>
        <v>0</v>
      </c>
      <c r="H26" s="178">
        <f>SUM(H22-H23-H24)</f>
        <v>0</v>
      </c>
      <c r="I26" s="177">
        <f>SUM(I22-I23-I24-I25)</f>
        <v>0</v>
      </c>
      <c r="J26" s="177">
        <f>SUM(J22-J23-J24-J25)</f>
        <v>0</v>
      </c>
      <c r="K26" s="302">
        <f>SUM(K22-K23-K24)</f>
        <v>0</v>
      </c>
    </row>
    <row r="27" spans="1:15">
      <c r="A27" s="165"/>
      <c r="B27" s="166"/>
      <c r="C27" s="166"/>
      <c r="D27" s="282"/>
      <c r="E27" s="169"/>
      <c r="F27" s="169"/>
      <c r="G27" s="157"/>
      <c r="H27" s="156"/>
      <c r="I27" s="157"/>
      <c r="J27" s="157"/>
      <c r="K27" s="298"/>
    </row>
    <row r="28" spans="1:15">
      <c r="A28" s="158" t="s">
        <v>168</v>
      </c>
      <c r="B28" s="159"/>
      <c r="C28" s="159"/>
      <c r="D28" s="280">
        <f>G28-F28+E28</f>
        <v>0</v>
      </c>
      <c r="E28" s="157"/>
      <c r="F28" s="157">
        <v>0</v>
      </c>
      <c r="G28" s="170">
        <f t="shared" ref="G28:G37" si="4">+H28+J28+I28</f>
        <v>0</v>
      </c>
      <c r="H28" s="156"/>
      <c r="I28" s="157"/>
      <c r="J28" s="179">
        <v>0</v>
      </c>
      <c r="K28" s="298"/>
    </row>
    <row r="29" spans="1:15">
      <c r="A29" s="158" t="s">
        <v>169</v>
      </c>
      <c r="B29" s="159" t="s">
        <v>155</v>
      </c>
      <c r="C29" s="162">
        <v>10501</v>
      </c>
      <c r="D29" s="280">
        <f>G29-F29+E29</f>
        <v>0</v>
      </c>
      <c r="E29" s="157"/>
      <c r="F29" s="157">
        <v>0</v>
      </c>
      <c r="G29" s="170">
        <f t="shared" si="4"/>
        <v>0</v>
      </c>
      <c r="H29" s="156">
        <v>0</v>
      </c>
      <c r="I29" s="157">
        <v>0</v>
      </c>
      <c r="J29" s="157">
        <v>0</v>
      </c>
      <c r="K29" s="298">
        <f t="shared" ref="K29:K46" si="5">+ROUND(D29,0)</f>
        <v>0</v>
      </c>
    </row>
    <row r="30" spans="1:15">
      <c r="A30" s="180" t="s">
        <v>170</v>
      </c>
      <c r="B30" s="159"/>
      <c r="C30" s="159"/>
      <c r="D30" s="280">
        <f>G30-F30+E30</f>
        <v>0</v>
      </c>
      <c r="E30" s="155"/>
      <c r="F30" s="155"/>
      <c r="G30" s="170">
        <f t="shared" si="4"/>
        <v>0</v>
      </c>
      <c r="H30" s="156"/>
      <c r="I30" s="157">
        <v>0</v>
      </c>
      <c r="J30" s="157"/>
      <c r="K30" s="298">
        <f t="shared" si="5"/>
        <v>0</v>
      </c>
    </row>
    <row r="31" spans="1:15">
      <c r="A31" s="158" t="s">
        <v>171</v>
      </c>
      <c r="B31" s="159" t="s">
        <v>172</v>
      </c>
      <c r="C31" s="162">
        <v>1070104</v>
      </c>
      <c r="D31" s="280">
        <f>G31-F31+E31</f>
        <v>86600.229999999981</v>
      </c>
      <c r="E31" s="155"/>
      <c r="F31" s="155"/>
      <c r="G31" s="170">
        <f t="shared" si="4"/>
        <v>86600.229999999981</v>
      </c>
      <c r="H31" s="156">
        <v>86600.229999999981</v>
      </c>
      <c r="I31" s="157">
        <v>0</v>
      </c>
      <c r="J31" s="157"/>
      <c r="K31" s="298">
        <f t="shared" si="5"/>
        <v>86600</v>
      </c>
      <c r="M31" s="3" t="s">
        <v>448</v>
      </c>
      <c r="O31" s="734" t="s">
        <v>448</v>
      </c>
    </row>
    <row r="32" spans="1:15">
      <c r="A32" s="158"/>
      <c r="B32" s="159"/>
      <c r="C32" s="159"/>
      <c r="D32" s="280"/>
      <c r="E32" s="155"/>
      <c r="F32" s="155"/>
      <c r="G32" s="170">
        <f t="shared" si="4"/>
        <v>0</v>
      </c>
      <c r="H32" s="156"/>
      <c r="I32" s="157">
        <v>0</v>
      </c>
      <c r="J32" s="157">
        <v>0</v>
      </c>
      <c r="K32" s="298">
        <f t="shared" si="5"/>
        <v>0</v>
      </c>
    </row>
    <row r="33" spans="1:15">
      <c r="A33" s="153" t="s">
        <v>173</v>
      </c>
      <c r="B33" s="136"/>
      <c r="C33" s="136"/>
      <c r="D33" s="280"/>
      <c r="E33" s="155"/>
      <c r="F33" s="155"/>
      <c r="G33" s="170">
        <f t="shared" si="4"/>
        <v>0</v>
      </c>
      <c r="H33" s="156"/>
      <c r="I33" s="157">
        <v>0</v>
      </c>
      <c r="J33" s="157">
        <v>0</v>
      </c>
      <c r="K33" s="298">
        <f t="shared" si="5"/>
        <v>0</v>
      </c>
    </row>
    <row r="34" spans="1:15">
      <c r="A34" s="158" t="s">
        <v>174</v>
      </c>
      <c r="B34" s="159"/>
      <c r="C34" s="159"/>
      <c r="D34" s="280">
        <f t="shared" ref="D34:D45" si="6">G34-F34+E34</f>
        <v>0</v>
      </c>
      <c r="E34" s="155"/>
      <c r="F34" s="155"/>
      <c r="G34" s="170">
        <f t="shared" si="4"/>
        <v>0</v>
      </c>
      <c r="H34" s="156"/>
      <c r="I34" s="157">
        <v>0</v>
      </c>
      <c r="J34" s="157">
        <v>0</v>
      </c>
      <c r="K34" s="298">
        <f t="shared" si="5"/>
        <v>0</v>
      </c>
    </row>
    <row r="35" spans="1:15">
      <c r="A35" s="158" t="s">
        <v>175</v>
      </c>
      <c r="B35" s="159" t="s">
        <v>176</v>
      </c>
      <c r="C35" s="162">
        <v>1080201</v>
      </c>
      <c r="D35" s="280">
        <f t="shared" si="6"/>
        <v>758506.15</v>
      </c>
      <c r="E35" s="155"/>
      <c r="F35" s="155"/>
      <c r="G35" s="170">
        <f t="shared" si="4"/>
        <v>758506.15</v>
      </c>
      <c r="H35" s="156">
        <v>758506.15</v>
      </c>
      <c r="I35" s="157">
        <v>0</v>
      </c>
      <c r="J35" s="157">
        <v>0</v>
      </c>
      <c r="K35" s="321">
        <f t="shared" si="5"/>
        <v>758506</v>
      </c>
      <c r="M35" s="3" t="s">
        <v>16</v>
      </c>
      <c r="O35" s="734" t="s">
        <v>16</v>
      </c>
    </row>
    <row r="36" spans="1:15">
      <c r="A36" s="153" t="s">
        <v>177</v>
      </c>
      <c r="B36" s="159"/>
      <c r="C36" s="159"/>
      <c r="D36" s="280">
        <f>G36-F40+E36</f>
        <v>0</v>
      </c>
      <c r="E36" s="155"/>
      <c r="F36" s="155"/>
      <c r="G36" s="170">
        <f t="shared" si="4"/>
        <v>0</v>
      </c>
      <c r="H36" s="156"/>
      <c r="I36" s="157">
        <v>0</v>
      </c>
      <c r="J36" s="157"/>
      <c r="K36" s="298">
        <f t="shared" si="5"/>
        <v>0</v>
      </c>
    </row>
    <row r="37" spans="1:15">
      <c r="A37" s="158" t="s">
        <v>178</v>
      </c>
      <c r="B37" s="159"/>
      <c r="C37" s="162">
        <v>1081103</v>
      </c>
      <c r="D37" s="280">
        <f>G37-F41+E37</f>
        <v>100074.65000000001</v>
      </c>
      <c r="E37" s="155"/>
      <c r="F37" s="155"/>
      <c r="G37" s="170">
        <f t="shared" si="4"/>
        <v>100074.65000000001</v>
      </c>
      <c r="H37" s="156">
        <v>99660.27</v>
      </c>
      <c r="I37" s="157">
        <v>414.38</v>
      </c>
      <c r="J37" s="157">
        <v>0</v>
      </c>
      <c r="K37" s="298">
        <f t="shared" si="5"/>
        <v>100075</v>
      </c>
      <c r="M37" s="3" t="s">
        <v>8</v>
      </c>
      <c r="O37" s="734" t="s">
        <v>457</v>
      </c>
    </row>
    <row r="38" spans="1:15">
      <c r="A38" s="158" t="s">
        <v>179</v>
      </c>
      <c r="B38" s="159"/>
      <c r="C38" s="162">
        <v>1081102</v>
      </c>
      <c r="D38" s="280">
        <f>G38-F42+E38</f>
        <v>131552.59999999998</v>
      </c>
      <c r="E38" s="155"/>
      <c r="F38" s="155"/>
      <c r="G38" s="170">
        <f>+H38+J38+I38</f>
        <v>131552.59999999998</v>
      </c>
      <c r="H38" s="156">
        <v>131552.59999999998</v>
      </c>
      <c r="I38" s="157">
        <v>0</v>
      </c>
      <c r="J38" s="157">
        <v>0</v>
      </c>
      <c r="K38" s="298">
        <f t="shared" si="5"/>
        <v>131553</v>
      </c>
      <c r="M38" s="3" t="s">
        <v>12</v>
      </c>
      <c r="O38" s="734" t="s">
        <v>83</v>
      </c>
    </row>
    <row r="39" spans="1:15">
      <c r="A39" s="158" t="s">
        <v>180</v>
      </c>
      <c r="B39" s="159"/>
      <c r="C39" s="159"/>
      <c r="D39" s="280">
        <f>G39-F43+E39</f>
        <v>0</v>
      </c>
      <c r="E39" s="155"/>
      <c r="F39" s="155"/>
      <c r="G39" s="157">
        <f>+H39+J39</f>
        <v>0</v>
      </c>
      <c r="H39" s="156">
        <v>0</v>
      </c>
      <c r="I39" s="157">
        <v>0</v>
      </c>
      <c r="J39" s="157">
        <v>0</v>
      </c>
      <c r="K39" s="298">
        <f t="shared" si="5"/>
        <v>0</v>
      </c>
      <c r="M39" s="3" t="s">
        <v>457</v>
      </c>
      <c r="O39" s="734" t="s">
        <v>457</v>
      </c>
    </row>
    <row r="40" spans="1:15">
      <c r="A40" s="181" t="s">
        <v>181</v>
      </c>
      <c r="B40" s="176" t="s">
        <v>182</v>
      </c>
      <c r="C40" s="176"/>
      <c r="D40" s="284">
        <f t="shared" ref="D40:K40" si="7">SUM(D37:D39)</f>
        <v>231627.25</v>
      </c>
      <c r="E40" s="177">
        <f t="shared" si="7"/>
        <v>0</v>
      </c>
      <c r="F40" s="177">
        <f t="shared" si="7"/>
        <v>0</v>
      </c>
      <c r="G40" s="182">
        <f t="shared" si="7"/>
        <v>231627.25</v>
      </c>
      <c r="H40" s="182">
        <f t="shared" si="7"/>
        <v>231212.87</v>
      </c>
      <c r="I40" s="182">
        <f t="shared" si="7"/>
        <v>414.38</v>
      </c>
      <c r="J40" s="182">
        <f t="shared" si="7"/>
        <v>0</v>
      </c>
      <c r="K40" s="303">
        <f t="shared" si="7"/>
        <v>231628</v>
      </c>
    </row>
    <row r="41" spans="1:15">
      <c r="A41" s="920" t="s">
        <v>183</v>
      </c>
      <c r="B41" s="916"/>
      <c r="C41" s="916"/>
      <c r="D41" s="281">
        <f t="shared" si="6"/>
        <v>0</v>
      </c>
      <c r="E41" s="167"/>
      <c r="F41" s="167"/>
      <c r="G41" s="921">
        <f>SUM(H41:J41)</f>
        <v>0</v>
      </c>
      <c r="H41" s="157"/>
      <c r="I41" s="157"/>
      <c r="J41" s="157">
        <v>0</v>
      </c>
      <c r="K41" s="298">
        <f t="shared" si="5"/>
        <v>0</v>
      </c>
    </row>
    <row r="42" spans="1:15">
      <c r="A42" s="922" t="s">
        <v>184</v>
      </c>
      <c r="B42" s="166"/>
      <c r="C42" s="166"/>
      <c r="D42" s="282">
        <f t="shared" si="6"/>
        <v>0</v>
      </c>
      <c r="E42" s="157"/>
      <c r="F42" s="157"/>
      <c r="G42" s="170">
        <f t="shared" ref="G42:G47" si="8">SUM(H42:J42)</f>
        <v>0</v>
      </c>
      <c r="H42" s="157"/>
      <c r="I42" s="157"/>
      <c r="J42" s="157">
        <v>0</v>
      </c>
      <c r="K42" s="298">
        <f t="shared" si="5"/>
        <v>0</v>
      </c>
    </row>
    <row r="43" spans="1:15">
      <c r="A43" s="922" t="s">
        <v>15</v>
      </c>
      <c r="B43" s="166"/>
      <c r="C43" s="923" t="s">
        <v>185</v>
      </c>
      <c r="D43" s="282">
        <f t="shared" si="6"/>
        <v>236658.40999999992</v>
      </c>
      <c r="E43" s="157">
        <v>0</v>
      </c>
      <c r="F43" s="157"/>
      <c r="G43" s="170">
        <f t="shared" si="8"/>
        <v>236658.40999999992</v>
      </c>
      <c r="H43" s="157">
        <v>236658.40999999992</v>
      </c>
      <c r="I43" s="157">
        <v>0</v>
      </c>
      <c r="J43" s="157">
        <v>0</v>
      </c>
      <c r="K43" s="298">
        <f t="shared" si="5"/>
        <v>236658</v>
      </c>
      <c r="M43" s="3" t="s">
        <v>15</v>
      </c>
      <c r="O43" s="734" t="s">
        <v>15</v>
      </c>
    </row>
    <row r="44" spans="1:15">
      <c r="A44" s="922" t="s">
        <v>186</v>
      </c>
      <c r="B44" s="166" t="s">
        <v>146</v>
      </c>
      <c r="C44" s="924">
        <v>1080701</v>
      </c>
      <c r="D44" s="282">
        <f t="shared" si="6"/>
        <v>10000</v>
      </c>
      <c r="E44" s="157"/>
      <c r="F44" s="157"/>
      <c r="G44" s="170">
        <f t="shared" si="8"/>
        <v>10000</v>
      </c>
      <c r="H44" s="157">
        <v>10000</v>
      </c>
      <c r="I44" s="157">
        <v>0</v>
      </c>
      <c r="J44" s="157">
        <v>0</v>
      </c>
      <c r="K44" s="321">
        <f t="shared" si="5"/>
        <v>10000</v>
      </c>
      <c r="M44" s="3" t="s">
        <v>16</v>
      </c>
      <c r="O44" s="734" t="s">
        <v>16</v>
      </c>
    </row>
    <row r="45" spans="1:15">
      <c r="A45" s="922" t="s">
        <v>187</v>
      </c>
      <c r="B45" s="166"/>
      <c r="C45" s="924">
        <v>1080801</v>
      </c>
      <c r="D45" s="282">
        <f t="shared" si="6"/>
        <v>92475.91</v>
      </c>
      <c r="E45" s="157"/>
      <c r="F45" s="157"/>
      <c r="G45" s="170">
        <f t="shared" si="8"/>
        <v>92475.91</v>
      </c>
      <c r="H45" s="157">
        <v>92475.91</v>
      </c>
      <c r="I45" s="157">
        <v>0</v>
      </c>
      <c r="J45" s="157"/>
      <c r="K45" s="321">
        <f t="shared" si="5"/>
        <v>92476</v>
      </c>
      <c r="M45" s="3" t="s">
        <v>16</v>
      </c>
      <c r="O45" s="734" t="s">
        <v>16</v>
      </c>
    </row>
    <row r="46" spans="1:15">
      <c r="A46" s="922" t="s">
        <v>188</v>
      </c>
      <c r="B46" s="166">
        <v>36</v>
      </c>
      <c r="C46" s="919">
        <v>1080901</v>
      </c>
      <c r="D46" s="282">
        <f>G46-F46+E46</f>
        <v>0</v>
      </c>
      <c r="E46" s="157"/>
      <c r="F46" s="157"/>
      <c r="G46" s="170">
        <f t="shared" si="8"/>
        <v>0</v>
      </c>
      <c r="H46" s="157">
        <v>0</v>
      </c>
      <c r="I46" s="157">
        <v>0</v>
      </c>
      <c r="J46" s="157">
        <v>0</v>
      </c>
      <c r="K46" s="298">
        <f t="shared" si="5"/>
        <v>0</v>
      </c>
      <c r="M46" s="3" t="s">
        <v>14</v>
      </c>
      <c r="O46" s="734" t="s">
        <v>14</v>
      </c>
    </row>
    <row r="47" spans="1:15">
      <c r="A47" s="922" t="s">
        <v>189</v>
      </c>
      <c r="B47" s="166" t="s">
        <v>190</v>
      </c>
      <c r="C47" s="919">
        <v>1081003</v>
      </c>
      <c r="D47" s="282">
        <f>G47-F47+E47</f>
        <v>2211466.41</v>
      </c>
      <c r="E47" s="157"/>
      <c r="F47" s="157">
        <f>E90</f>
        <v>1800</v>
      </c>
      <c r="G47" s="170">
        <f t="shared" si="8"/>
        <v>2213266.41</v>
      </c>
      <c r="H47" s="157">
        <v>2213266.41</v>
      </c>
      <c r="I47" s="157">
        <v>0</v>
      </c>
      <c r="J47" s="157">
        <v>0</v>
      </c>
      <c r="K47" s="321">
        <f>+ROUND(D47,0)+1</f>
        <v>2211467</v>
      </c>
      <c r="M47" s="3" t="s">
        <v>16</v>
      </c>
      <c r="O47" s="734" t="s">
        <v>16</v>
      </c>
    </row>
    <row r="48" spans="1:15">
      <c r="A48" s="922" t="s">
        <v>1223</v>
      </c>
      <c r="B48" s="166"/>
      <c r="C48" s="919">
        <v>1081014</v>
      </c>
      <c r="D48" s="282"/>
      <c r="E48" s="157"/>
      <c r="F48" s="157"/>
      <c r="G48" s="170"/>
      <c r="H48" s="157">
        <v>0</v>
      </c>
      <c r="I48" s="157"/>
      <c r="J48" s="157"/>
      <c r="K48" s="321"/>
    </row>
    <row r="49" spans="1:11">
      <c r="A49" s="925" t="s">
        <v>1224</v>
      </c>
      <c r="B49" s="917"/>
      <c r="C49" s="183">
        <v>1081015</v>
      </c>
      <c r="D49" s="283"/>
      <c r="E49" s="173"/>
      <c r="F49" s="173"/>
      <c r="G49" s="184"/>
      <c r="H49" s="157">
        <v>0</v>
      </c>
      <c r="I49" s="157"/>
      <c r="J49" s="157"/>
      <c r="K49" s="321"/>
    </row>
    <row r="50" spans="1:11">
      <c r="A50" s="175" t="s">
        <v>191</v>
      </c>
      <c r="B50" s="164"/>
      <c r="C50" s="164"/>
      <c r="D50" s="283">
        <f>+SUM(D35:D39,D41:D47)</f>
        <v>3540734.13</v>
      </c>
      <c r="E50" s="173">
        <f>SUM(E34:E47)</f>
        <v>0</v>
      </c>
      <c r="F50" s="173">
        <f>SUM(F34:F47)</f>
        <v>1800</v>
      </c>
      <c r="G50" s="173">
        <f>+SUM(G35:G39,G41:G47)</f>
        <v>3542534.13</v>
      </c>
      <c r="H50" s="185">
        <f>+SUM(H35:H39,H41:H47)</f>
        <v>3542119.75</v>
      </c>
      <c r="I50" s="182">
        <f>+SUM(I35:I39,I41:I47)</f>
        <v>414.38</v>
      </c>
      <c r="J50" s="182">
        <f>+SUM(J35:J39,J41:J47)</f>
        <v>0</v>
      </c>
      <c r="K50" s="304">
        <f>+SUM(K35:K39,K41:K47)</f>
        <v>3540735</v>
      </c>
    </row>
    <row r="51" spans="1:11" ht="13.5" thickBot="1">
      <c r="A51" s="186" t="s">
        <v>192</v>
      </c>
      <c r="B51" s="187"/>
      <c r="C51" s="187"/>
      <c r="D51" s="285">
        <f>SUM(D13+D15+D26+D28+D31+D50+D17+D29+D16+D18)</f>
        <v>41046257.499999993</v>
      </c>
      <c r="E51" s="188">
        <f>SUM(E13+E15+E26+E28+E31+E50+E17+E29+E16)</f>
        <v>0</v>
      </c>
      <c r="F51" s="188">
        <f>SUM(F13+F15+F26+F28+F31+F50+F17+F29+F16)</f>
        <v>76800</v>
      </c>
      <c r="G51" s="188">
        <f>SUM(G13+G15+G26+G28+G31+G50+G17+G29+G16+G18)</f>
        <v>41123057.499999993</v>
      </c>
      <c r="H51" s="189">
        <f>SUM(H13+H15+H26+H28+H31+H50+H17+H29+H16+H18)</f>
        <v>41047643.11999999</v>
      </c>
      <c r="I51" s="188">
        <f>SUM(I13+I15+I26+I28+I31+I50+I17+I29+I16+I18)</f>
        <v>75414.38</v>
      </c>
      <c r="J51" s="188">
        <f>SUM(J13+J15+J26+J28+J31+J50+J17+J29+J16+J18)</f>
        <v>0</v>
      </c>
      <c r="K51" s="305">
        <f>SUM(K13+K15+K26+K28+K31+K50+K17+K29+K16+K18)</f>
        <v>41046259</v>
      </c>
    </row>
    <row r="52" spans="1:11">
      <c r="A52" s="190"/>
      <c r="B52" s="191"/>
      <c r="C52" s="191"/>
      <c r="D52" s="282"/>
      <c r="E52" s="169"/>
      <c r="F52" s="169"/>
      <c r="G52" s="169"/>
      <c r="H52" s="192"/>
      <c r="I52" s="169"/>
      <c r="J52" s="169"/>
      <c r="K52" s="306"/>
    </row>
    <row r="53" spans="1:11">
      <c r="A53" s="190"/>
      <c r="B53" s="191"/>
      <c r="C53" s="191"/>
      <c r="D53" s="282"/>
      <c r="E53" s="169"/>
      <c r="F53" s="169"/>
      <c r="G53" s="169"/>
      <c r="H53" s="192"/>
      <c r="I53" s="169"/>
      <c r="J53" s="169"/>
      <c r="K53" s="306"/>
    </row>
    <row r="54" spans="1:11">
      <c r="A54" s="190"/>
      <c r="B54" s="191"/>
      <c r="C54" s="191"/>
      <c r="D54" s="282"/>
      <c r="E54" s="169"/>
      <c r="F54" s="169"/>
      <c r="G54" s="169"/>
      <c r="H54" s="192"/>
      <c r="I54" s="169"/>
      <c r="J54" s="169"/>
      <c r="K54" s="306"/>
    </row>
    <row r="55" spans="1:11">
      <c r="A55" s="190"/>
      <c r="B55" s="191"/>
      <c r="C55" s="191"/>
      <c r="D55" s="282"/>
      <c r="E55" s="169"/>
      <c r="F55" s="169"/>
      <c r="G55" s="169"/>
      <c r="H55" s="192"/>
      <c r="I55" s="169"/>
      <c r="J55" s="169"/>
      <c r="K55" s="306"/>
    </row>
    <row r="56" spans="1:11">
      <c r="A56" s="190"/>
      <c r="B56" s="191"/>
      <c r="C56" s="191"/>
      <c r="D56" s="282"/>
      <c r="E56" s="169"/>
      <c r="F56" s="169"/>
      <c r="G56" s="169"/>
      <c r="H56" s="192"/>
      <c r="I56" s="169"/>
      <c r="J56" s="169"/>
      <c r="K56" s="306"/>
    </row>
    <row r="57" spans="1:11">
      <c r="A57" s="190"/>
      <c r="B57" s="191"/>
      <c r="C57" s="191"/>
      <c r="D57" s="282"/>
      <c r="E57" s="169"/>
      <c r="F57" s="169"/>
      <c r="G57" s="169"/>
      <c r="H57" s="192"/>
      <c r="I57" s="169"/>
      <c r="J57" s="169"/>
      <c r="K57" s="306"/>
    </row>
    <row r="58" spans="1:11">
      <c r="A58" s="190"/>
      <c r="B58" s="191"/>
      <c r="C58" s="191"/>
      <c r="D58" s="282"/>
      <c r="E58" s="169"/>
      <c r="F58" s="169"/>
      <c r="G58" s="169"/>
      <c r="H58" s="192"/>
      <c r="I58" s="169"/>
      <c r="J58" s="169"/>
      <c r="K58" s="306"/>
    </row>
    <row r="59" spans="1:11">
      <c r="A59" s="165"/>
      <c r="B59" s="166"/>
      <c r="C59" s="166"/>
      <c r="D59" s="282"/>
      <c r="E59" s="169"/>
      <c r="F59" s="169"/>
      <c r="G59" s="169"/>
      <c r="H59" s="192"/>
      <c r="I59" s="169"/>
      <c r="J59" s="169"/>
      <c r="K59" s="306"/>
    </row>
    <row r="60" spans="1:11">
      <c r="A60" s="141" t="s">
        <v>193</v>
      </c>
      <c r="B60" s="142"/>
      <c r="C60" s="142"/>
      <c r="D60" s="278"/>
      <c r="E60" s="194"/>
      <c r="F60" s="194"/>
      <c r="G60" s="194"/>
      <c r="H60" s="195"/>
      <c r="I60" s="194"/>
      <c r="J60" s="194"/>
      <c r="K60" s="295"/>
    </row>
    <row r="61" spans="1:11">
      <c r="A61" s="196">
        <f>A3</f>
        <v>43008</v>
      </c>
      <c r="B61" s="146"/>
      <c r="C61" s="146"/>
      <c r="D61" s="279"/>
      <c r="E61" s="198"/>
      <c r="F61" s="198"/>
      <c r="G61" s="198"/>
      <c r="H61" s="199"/>
      <c r="I61" s="198"/>
      <c r="J61" s="198"/>
      <c r="K61" s="297"/>
    </row>
    <row r="62" spans="1:11" ht="12.75" customHeight="1">
      <c r="A62" s="180"/>
      <c r="B62" s="159"/>
      <c r="C62" s="159"/>
      <c r="D62" s="286"/>
      <c r="E62" s="200" t="s">
        <v>141</v>
      </c>
      <c r="F62" s="201"/>
      <c r="G62" s="202"/>
      <c r="H62" s="1021" t="str">
        <f>+H4</f>
        <v>Valores Banistmo, S.A. y Subsidiarias</v>
      </c>
      <c r="I62" s="203"/>
      <c r="J62" s="1023" t="s">
        <v>832</v>
      </c>
      <c r="K62" s="1035" t="str">
        <f>+K4</f>
        <v>Valores Banistmo, S.A. y Subsidiarias</v>
      </c>
    </row>
    <row r="63" spans="1:11">
      <c r="A63" s="146"/>
      <c r="B63" s="146" t="str">
        <f>B4</f>
        <v>Notas</v>
      </c>
      <c r="C63" s="146"/>
      <c r="D63" s="287" t="s">
        <v>140</v>
      </c>
      <c r="E63" s="204" t="s">
        <v>143</v>
      </c>
      <c r="F63" s="204" t="s">
        <v>144</v>
      </c>
      <c r="G63" s="204" t="s">
        <v>51</v>
      </c>
      <c r="H63" s="1022"/>
      <c r="I63" s="205"/>
      <c r="J63" s="1024"/>
      <c r="K63" s="1036"/>
    </row>
    <row r="64" spans="1:11">
      <c r="A64" s="165"/>
      <c r="B64" s="166"/>
      <c r="C64" s="166"/>
      <c r="D64" s="282"/>
      <c r="E64" s="169"/>
      <c r="F64" s="169"/>
      <c r="G64" s="169"/>
      <c r="H64" s="192"/>
      <c r="I64" s="169"/>
      <c r="J64" s="169"/>
      <c r="K64" s="306"/>
    </row>
    <row r="65" spans="1:11">
      <c r="A65" s="153" t="s">
        <v>194</v>
      </c>
      <c r="B65" s="136"/>
      <c r="C65" s="136"/>
      <c r="D65" s="280"/>
      <c r="E65" s="155"/>
      <c r="F65" s="155" t="s">
        <v>195</v>
      </c>
      <c r="G65" s="157">
        <f>SUM(H65:J65)</f>
        <v>0</v>
      </c>
      <c r="H65" s="156"/>
      <c r="I65" s="157"/>
      <c r="J65" s="157"/>
      <c r="K65" s="298"/>
    </row>
    <row r="66" spans="1:11">
      <c r="A66" s="153" t="s">
        <v>196</v>
      </c>
      <c r="B66" s="136"/>
      <c r="C66" s="136"/>
      <c r="D66" s="280"/>
      <c r="E66" s="155"/>
      <c r="F66" s="155"/>
      <c r="G66" s="157">
        <f t="shared" ref="G66:G75" si="9">SUM(H66:J66)</f>
        <v>0</v>
      </c>
      <c r="H66" s="156"/>
      <c r="I66" s="157"/>
      <c r="J66" s="157"/>
      <c r="K66" s="298"/>
    </row>
    <row r="67" spans="1:11">
      <c r="A67" s="153" t="s">
        <v>197</v>
      </c>
      <c r="B67" s="136"/>
      <c r="C67" s="136"/>
      <c r="D67" s="280"/>
      <c r="E67" s="155"/>
      <c r="F67" s="155"/>
      <c r="G67" s="157">
        <f t="shared" si="9"/>
        <v>0</v>
      </c>
      <c r="H67" s="156"/>
      <c r="I67" s="157"/>
      <c r="J67" s="157"/>
      <c r="K67" s="298"/>
    </row>
    <row r="68" spans="1:11">
      <c r="A68" s="158" t="s">
        <v>198</v>
      </c>
      <c r="B68" s="159"/>
      <c r="C68" s="159"/>
      <c r="D68" s="280">
        <f t="shared" ref="D68:D75" si="10">G68+F68-E68</f>
        <v>0</v>
      </c>
      <c r="E68" s="155"/>
      <c r="F68" s="155"/>
      <c r="G68" s="157">
        <f t="shared" si="9"/>
        <v>0</v>
      </c>
      <c r="H68" s="156"/>
      <c r="I68" s="157"/>
      <c r="J68" s="157"/>
      <c r="K68" s="298">
        <f t="shared" ref="K68:K82" si="11">+ROUND(D68,0)</f>
        <v>0</v>
      </c>
    </row>
    <row r="69" spans="1:11">
      <c r="A69" s="158" t="s">
        <v>199</v>
      </c>
      <c r="B69" s="159"/>
      <c r="C69" s="159"/>
      <c r="D69" s="280">
        <f t="shared" si="10"/>
        <v>0</v>
      </c>
      <c r="E69" s="155"/>
      <c r="F69" s="155"/>
      <c r="G69" s="157">
        <f t="shared" si="9"/>
        <v>0</v>
      </c>
      <c r="H69" s="156"/>
      <c r="I69" s="157"/>
      <c r="J69" s="157"/>
      <c r="K69" s="298">
        <f t="shared" si="11"/>
        <v>0</v>
      </c>
    </row>
    <row r="70" spans="1:11">
      <c r="A70" s="158" t="s">
        <v>200</v>
      </c>
      <c r="B70" s="159"/>
      <c r="C70" s="159"/>
      <c r="D70" s="280">
        <f t="shared" si="10"/>
        <v>0</v>
      </c>
      <c r="E70" s="155"/>
      <c r="F70" s="155"/>
      <c r="G70" s="157">
        <f t="shared" si="9"/>
        <v>0</v>
      </c>
      <c r="H70" s="156"/>
      <c r="I70" s="157"/>
      <c r="J70" s="157"/>
      <c r="K70" s="298">
        <f t="shared" si="11"/>
        <v>0</v>
      </c>
    </row>
    <row r="71" spans="1:11">
      <c r="A71" s="158" t="s">
        <v>201</v>
      </c>
      <c r="B71" s="159"/>
      <c r="C71" s="159"/>
      <c r="D71" s="280">
        <f t="shared" si="10"/>
        <v>0</v>
      </c>
      <c r="E71" s="155"/>
      <c r="F71" s="155"/>
      <c r="G71" s="157">
        <f t="shared" si="9"/>
        <v>0</v>
      </c>
      <c r="H71" s="156"/>
      <c r="I71" s="157"/>
      <c r="J71" s="157"/>
      <c r="K71" s="298">
        <f t="shared" si="11"/>
        <v>0</v>
      </c>
    </row>
    <row r="72" spans="1:11">
      <c r="A72" s="158" t="s">
        <v>202</v>
      </c>
      <c r="B72" s="159"/>
      <c r="C72" s="159"/>
      <c r="D72" s="280">
        <f t="shared" si="10"/>
        <v>0</v>
      </c>
      <c r="E72" s="155"/>
      <c r="F72" s="155"/>
      <c r="G72" s="157">
        <f t="shared" si="9"/>
        <v>0</v>
      </c>
      <c r="H72" s="156"/>
      <c r="I72" s="157"/>
      <c r="J72" s="157"/>
      <c r="K72" s="298">
        <f t="shared" si="11"/>
        <v>0</v>
      </c>
    </row>
    <row r="73" spans="1:11">
      <c r="A73" s="153" t="s">
        <v>203</v>
      </c>
      <c r="B73" s="159"/>
      <c r="C73" s="159"/>
      <c r="D73" s="280">
        <f t="shared" si="10"/>
        <v>0</v>
      </c>
      <c r="E73" s="157"/>
      <c r="F73" s="157"/>
      <c r="G73" s="157">
        <f t="shared" si="9"/>
        <v>0</v>
      </c>
      <c r="H73" s="156"/>
      <c r="I73" s="157"/>
      <c r="J73" s="157"/>
      <c r="K73" s="298">
        <f t="shared" si="11"/>
        <v>0</v>
      </c>
    </row>
    <row r="74" spans="1:11">
      <c r="A74" s="158" t="s">
        <v>204</v>
      </c>
      <c r="B74" s="159"/>
      <c r="C74" s="159"/>
      <c r="D74" s="280">
        <f t="shared" si="10"/>
        <v>0</v>
      </c>
      <c r="E74" s="155"/>
      <c r="F74" s="155"/>
      <c r="G74" s="157">
        <f t="shared" si="9"/>
        <v>0</v>
      </c>
      <c r="H74" s="156"/>
      <c r="I74" s="157"/>
      <c r="J74" s="157"/>
      <c r="K74" s="298">
        <f t="shared" si="11"/>
        <v>0</v>
      </c>
    </row>
    <row r="75" spans="1:11">
      <c r="A75" s="163" t="s">
        <v>205</v>
      </c>
      <c r="B75" s="159"/>
      <c r="C75" s="159"/>
      <c r="D75" s="280">
        <f t="shared" si="10"/>
        <v>0</v>
      </c>
      <c r="E75" s="155"/>
      <c r="F75" s="155"/>
      <c r="G75" s="157">
        <f t="shared" si="9"/>
        <v>0</v>
      </c>
      <c r="H75" s="156"/>
      <c r="I75" s="157"/>
      <c r="J75" s="157"/>
      <c r="K75" s="298">
        <f t="shared" si="11"/>
        <v>0</v>
      </c>
    </row>
    <row r="76" spans="1:11">
      <c r="A76" s="175" t="s">
        <v>206</v>
      </c>
      <c r="B76" s="176"/>
      <c r="C76" s="176"/>
      <c r="D76" s="284">
        <f>SUM(D68:D75)</f>
        <v>0</v>
      </c>
      <c r="E76" s="182">
        <f>SUM(E68:E75)</f>
        <v>0</v>
      </c>
      <c r="F76" s="182">
        <f>SUM(F68:F75)</f>
        <v>0</v>
      </c>
      <c r="G76" s="182">
        <f t="shared" ref="G76:G82" si="12">SUM(H76:J76)</f>
        <v>0</v>
      </c>
      <c r="H76" s="185">
        <f>SUM(H68:H75)</f>
        <v>0</v>
      </c>
      <c r="I76" s="182"/>
      <c r="J76" s="182">
        <f>SUM(J68:J75)</f>
        <v>0</v>
      </c>
      <c r="K76" s="304">
        <f>SUM(K68:K75)</f>
        <v>0</v>
      </c>
    </row>
    <row r="77" spans="1:11">
      <c r="A77" s="158"/>
      <c r="B77" s="159"/>
      <c r="C77" s="159"/>
      <c r="D77" s="280"/>
      <c r="E77" s="155"/>
      <c r="F77" s="155"/>
      <c r="G77" s="157">
        <f t="shared" si="12"/>
        <v>0</v>
      </c>
      <c r="H77" s="156"/>
      <c r="I77" s="157"/>
      <c r="J77" s="157"/>
      <c r="K77" s="298">
        <f t="shared" si="11"/>
        <v>0</v>
      </c>
    </row>
    <row r="78" spans="1:11">
      <c r="A78" s="158" t="s">
        <v>207</v>
      </c>
      <c r="B78" s="159"/>
      <c r="C78" s="159"/>
      <c r="D78" s="280">
        <f>G78+F78-E78</f>
        <v>0</v>
      </c>
      <c r="E78" s="155"/>
      <c r="F78" s="155"/>
      <c r="G78" s="157">
        <f t="shared" si="12"/>
        <v>0</v>
      </c>
      <c r="H78" s="156"/>
      <c r="I78" s="157"/>
      <c r="J78" s="157"/>
      <c r="K78" s="298">
        <f t="shared" si="11"/>
        <v>0</v>
      </c>
    </row>
    <row r="79" spans="1:11">
      <c r="A79" s="158" t="s">
        <v>208</v>
      </c>
      <c r="B79" s="159"/>
      <c r="C79" s="159"/>
      <c r="D79" s="280">
        <f>G79+F79-E79</f>
        <v>0</v>
      </c>
      <c r="E79" s="155">
        <v>0</v>
      </c>
      <c r="F79" s="155"/>
      <c r="G79" s="157">
        <f t="shared" si="12"/>
        <v>0</v>
      </c>
      <c r="H79" s="156">
        <v>0</v>
      </c>
      <c r="I79" s="157"/>
      <c r="J79" s="157"/>
      <c r="K79" s="298">
        <f t="shared" si="11"/>
        <v>0</v>
      </c>
    </row>
    <row r="80" spans="1:11">
      <c r="A80" s="158" t="s">
        <v>209</v>
      </c>
      <c r="B80" s="159"/>
      <c r="C80" s="159"/>
      <c r="D80" s="280">
        <f>G80+F80-E80</f>
        <v>0</v>
      </c>
      <c r="E80" s="155">
        <v>0</v>
      </c>
      <c r="F80" s="155"/>
      <c r="G80" s="157">
        <f t="shared" si="12"/>
        <v>0</v>
      </c>
      <c r="H80" s="156">
        <v>0</v>
      </c>
      <c r="I80" s="157"/>
      <c r="J80" s="157">
        <v>0</v>
      </c>
      <c r="K80" s="298">
        <f t="shared" si="11"/>
        <v>0</v>
      </c>
    </row>
    <row r="81" spans="1:15">
      <c r="A81" s="158" t="s">
        <v>210</v>
      </c>
      <c r="B81" s="159"/>
      <c r="C81" s="159"/>
      <c r="D81" s="280">
        <f>G81+F81-E81</f>
        <v>0</v>
      </c>
      <c r="E81" s="155">
        <v>0</v>
      </c>
      <c r="F81" s="155"/>
      <c r="G81" s="157">
        <f t="shared" si="12"/>
        <v>0</v>
      </c>
      <c r="H81" s="156">
        <v>0</v>
      </c>
      <c r="I81" s="157"/>
      <c r="J81" s="157">
        <v>0</v>
      </c>
      <c r="K81" s="298">
        <f t="shared" si="11"/>
        <v>0</v>
      </c>
    </row>
    <row r="82" spans="1:15">
      <c r="A82" s="163" t="s">
        <v>211</v>
      </c>
      <c r="B82" s="164" t="s">
        <v>212</v>
      </c>
      <c r="C82" s="206">
        <v>20308</v>
      </c>
      <c r="D82" s="283">
        <f>+G82</f>
        <v>39749.65</v>
      </c>
      <c r="E82" s="155">
        <v>0</v>
      </c>
      <c r="F82" s="155"/>
      <c r="G82" s="157">
        <f t="shared" si="12"/>
        <v>39749.65</v>
      </c>
      <c r="H82" s="651">
        <v>39749.65</v>
      </c>
      <c r="I82" s="157"/>
      <c r="J82" s="157"/>
      <c r="K82" s="298">
        <f t="shared" si="11"/>
        <v>39750</v>
      </c>
      <c r="M82" s="3" t="s">
        <v>19</v>
      </c>
      <c r="O82" s="734" t="s">
        <v>19</v>
      </c>
    </row>
    <row r="83" spans="1:15">
      <c r="A83" s="175"/>
      <c r="B83" s="176"/>
      <c r="C83" s="176"/>
      <c r="D83" s="284">
        <f>SUM(D78:D82)</f>
        <v>39749.65</v>
      </c>
      <c r="E83" s="182">
        <f>SUM(E78:E82)</f>
        <v>0</v>
      </c>
      <c r="F83" s="182">
        <f>SUM(F78:F82)</f>
        <v>0</v>
      </c>
      <c r="G83" s="182">
        <f>+G82</f>
        <v>39749.65</v>
      </c>
      <c r="H83" s="185">
        <f>SUM(H78:H82)</f>
        <v>39749.65</v>
      </c>
      <c r="I83" s="182"/>
      <c r="J83" s="182">
        <f>SUM(J78:J82)</f>
        <v>0</v>
      </c>
      <c r="K83" s="304">
        <f>SUM(K78:K82)</f>
        <v>39750</v>
      </c>
    </row>
    <row r="84" spans="1:15">
      <c r="A84" s="165"/>
      <c r="B84" s="166"/>
      <c r="C84" s="166"/>
      <c r="D84" s="282"/>
      <c r="E84" s="157"/>
      <c r="F84" s="157"/>
      <c r="G84" s="157"/>
      <c r="H84" s="156"/>
      <c r="I84" s="157"/>
      <c r="J84" s="157"/>
      <c r="K84" s="298"/>
    </row>
    <row r="85" spans="1:15">
      <c r="A85" s="153" t="s">
        <v>85</v>
      </c>
      <c r="B85" s="136"/>
      <c r="C85" s="136"/>
      <c r="D85" s="280">
        <f>SUM(D78:D82)-D83</f>
        <v>0</v>
      </c>
      <c r="E85" s="155"/>
      <c r="F85" s="155"/>
      <c r="G85" s="157"/>
      <c r="H85" s="156"/>
      <c r="I85" s="157"/>
      <c r="J85" s="157"/>
      <c r="K85" s="298"/>
    </row>
    <row r="86" spans="1:15">
      <c r="A86" s="158" t="s">
        <v>213</v>
      </c>
      <c r="B86" s="159"/>
      <c r="C86" s="159"/>
      <c r="D86" s="280">
        <f t="shared" ref="D86:D91" si="13">G86+F86-E86</f>
        <v>0</v>
      </c>
      <c r="E86" s="155"/>
      <c r="F86" s="155"/>
      <c r="G86" s="157">
        <f t="shared" ref="G86:G91" si="14">SUM(H86:J86)</f>
        <v>0</v>
      </c>
      <c r="H86" s="156"/>
      <c r="I86" s="157"/>
      <c r="J86" s="157">
        <v>0</v>
      </c>
      <c r="K86" s="298">
        <f t="shared" ref="K86:K91" si="15">+ROUND(D86,0)</f>
        <v>0</v>
      </c>
    </row>
    <row r="87" spans="1:15">
      <c r="A87" s="158" t="s">
        <v>214</v>
      </c>
      <c r="B87" s="159"/>
      <c r="C87" s="159"/>
      <c r="D87" s="280">
        <f t="shared" si="13"/>
        <v>0</v>
      </c>
      <c r="E87" s="155">
        <v>0</v>
      </c>
      <c r="F87" s="155"/>
      <c r="G87" s="157">
        <f t="shared" si="14"/>
        <v>0</v>
      </c>
      <c r="H87" s="156">
        <v>0</v>
      </c>
      <c r="I87" s="157"/>
      <c r="J87" s="157">
        <v>0</v>
      </c>
      <c r="K87" s="298">
        <f t="shared" si="15"/>
        <v>0</v>
      </c>
    </row>
    <row r="88" spans="1:15">
      <c r="A88" s="158" t="s">
        <v>215</v>
      </c>
      <c r="B88" s="159"/>
      <c r="C88" s="159"/>
      <c r="D88" s="280">
        <f t="shared" si="13"/>
        <v>0</v>
      </c>
      <c r="E88" s="155"/>
      <c r="F88" s="155"/>
      <c r="G88" s="157">
        <f t="shared" si="14"/>
        <v>0</v>
      </c>
      <c r="H88" s="156">
        <v>0</v>
      </c>
      <c r="I88" s="157"/>
      <c r="J88" s="157">
        <v>0</v>
      </c>
      <c r="K88" s="298">
        <f t="shared" si="15"/>
        <v>0</v>
      </c>
    </row>
    <row r="89" spans="1:15">
      <c r="A89" s="158" t="s">
        <v>174</v>
      </c>
      <c r="B89" s="207"/>
      <c r="C89" s="207"/>
      <c r="D89" s="280">
        <f t="shared" si="13"/>
        <v>0</v>
      </c>
      <c r="E89" s="155"/>
      <c r="F89" s="155"/>
      <c r="G89" s="157">
        <f t="shared" si="14"/>
        <v>0</v>
      </c>
      <c r="H89" s="156"/>
      <c r="I89" s="157"/>
      <c r="J89" s="157"/>
      <c r="K89" s="298">
        <f t="shared" si="15"/>
        <v>0</v>
      </c>
    </row>
    <row r="90" spans="1:15">
      <c r="A90" s="158" t="s">
        <v>216</v>
      </c>
      <c r="B90" s="166" t="s">
        <v>217</v>
      </c>
      <c r="C90" s="160" t="s">
        <v>218</v>
      </c>
      <c r="D90" s="280">
        <f>G90+F90-E90</f>
        <v>12507692.093292002</v>
      </c>
      <c r="E90" s="155">
        <v>1800</v>
      </c>
      <c r="F90" s="155"/>
      <c r="G90" s="157">
        <f t="shared" si="14"/>
        <v>12509492.093292002</v>
      </c>
      <c r="H90" s="156">
        <v>12507692.093292002</v>
      </c>
      <c r="I90" s="157">
        <v>1800</v>
      </c>
      <c r="J90" s="157">
        <v>0</v>
      </c>
      <c r="K90" s="298">
        <f>+ROUND(D90,0)</f>
        <v>12507692</v>
      </c>
      <c r="O90" s="734" t="s">
        <v>85</v>
      </c>
    </row>
    <row r="91" spans="1:15">
      <c r="A91" s="165" t="s">
        <v>219</v>
      </c>
      <c r="B91" s="166"/>
      <c r="C91" s="166"/>
      <c r="D91" s="282">
        <f t="shared" si="13"/>
        <v>0</v>
      </c>
      <c r="E91" s="155"/>
      <c r="F91" s="155"/>
      <c r="G91" s="157">
        <f t="shared" si="14"/>
        <v>0</v>
      </c>
      <c r="H91" s="156"/>
      <c r="I91" s="157"/>
      <c r="J91" s="157"/>
      <c r="K91" s="298">
        <f t="shared" si="15"/>
        <v>0</v>
      </c>
    </row>
    <row r="92" spans="1:15">
      <c r="A92" s="175" t="s">
        <v>220</v>
      </c>
      <c r="B92" s="176"/>
      <c r="C92" s="176"/>
      <c r="D92" s="284">
        <f>G92+F92-E92</f>
        <v>12507692.093292002</v>
      </c>
      <c r="E92" s="182">
        <f>+E90</f>
        <v>1800</v>
      </c>
      <c r="F92" s="182">
        <f>SUM(F86:F91)</f>
        <v>0</v>
      </c>
      <c r="G92" s="177">
        <f>+J92+H92+I92</f>
        <v>12509492.093292002</v>
      </c>
      <c r="H92" s="185">
        <f>SUM(H86:H91)</f>
        <v>12507692.093292002</v>
      </c>
      <c r="I92" s="185">
        <f>SUM(I86:I91)</f>
        <v>1800</v>
      </c>
      <c r="J92" s="182">
        <f>SUM(J86:J91)</f>
        <v>0</v>
      </c>
      <c r="K92" s="304">
        <f>SUM(K86:K91)</f>
        <v>12507692</v>
      </c>
    </row>
    <row r="93" spans="1:15">
      <c r="A93" s="165"/>
      <c r="B93" s="166"/>
      <c r="C93" s="166"/>
      <c r="D93" s="282"/>
      <c r="E93" s="157"/>
      <c r="F93" s="157"/>
      <c r="G93" s="157"/>
      <c r="H93" s="156"/>
      <c r="I93" s="157"/>
      <c r="J93" s="157"/>
      <c r="K93" s="298"/>
    </row>
    <row r="94" spans="1:15">
      <c r="A94" s="158" t="s">
        <v>221</v>
      </c>
      <c r="B94" s="159"/>
      <c r="C94" s="159"/>
      <c r="D94" s="280">
        <f>G94+F94-E94</f>
        <v>0</v>
      </c>
      <c r="E94" s="155"/>
      <c r="F94" s="155"/>
      <c r="G94" s="157">
        <f>SUM(H94:AE94)</f>
        <v>0</v>
      </c>
      <c r="H94" s="156">
        <v>0</v>
      </c>
      <c r="I94" s="157"/>
      <c r="J94" s="157"/>
      <c r="K94" s="298">
        <v>0</v>
      </c>
    </row>
    <row r="95" spans="1:15">
      <c r="A95" s="158"/>
      <c r="B95" s="159"/>
      <c r="C95" s="159"/>
      <c r="D95" s="280"/>
      <c r="E95" s="155"/>
      <c r="F95" s="155"/>
      <c r="G95" s="157"/>
      <c r="H95" s="156"/>
      <c r="I95" s="157"/>
      <c r="J95" s="157"/>
      <c r="K95" s="298"/>
    </row>
    <row r="96" spans="1:15">
      <c r="A96" s="208" t="s">
        <v>222</v>
      </c>
      <c r="B96" s="209"/>
      <c r="C96" s="209"/>
      <c r="D96" s="284">
        <f>+G96-E96</f>
        <v>12547441.743292002</v>
      </c>
      <c r="E96" s="177">
        <f>SUM(E76+E83+E92+E94)</f>
        <v>1800</v>
      </c>
      <c r="F96" s="177">
        <f>SUM(F76+F83+F92+F94)</f>
        <v>0</v>
      </c>
      <c r="G96" s="177">
        <f>+G83+G92</f>
        <v>12549241.743292002</v>
      </c>
      <c r="H96" s="178">
        <f>+H83+H92</f>
        <v>12547441.743292002</v>
      </c>
      <c r="I96" s="177"/>
      <c r="J96" s="177">
        <f>+J92</f>
        <v>0</v>
      </c>
      <c r="K96" s="302">
        <f>+K83+K92</f>
        <v>12547442</v>
      </c>
    </row>
    <row r="97" spans="1:15">
      <c r="A97" s="158"/>
      <c r="B97" s="159"/>
      <c r="C97" s="159"/>
      <c r="D97" s="280"/>
      <c r="E97" s="155"/>
      <c r="F97" s="155"/>
      <c r="G97" s="157"/>
      <c r="H97" s="156"/>
      <c r="I97" s="157"/>
      <c r="J97" s="157"/>
      <c r="K97" s="298"/>
    </row>
    <row r="98" spans="1:15">
      <c r="A98" s="153" t="s">
        <v>223</v>
      </c>
      <c r="B98" s="136"/>
      <c r="C98" s="136"/>
      <c r="D98" s="280"/>
      <c r="E98" s="155"/>
      <c r="F98" s="155"/>
      <c r="G98" s="157"/>
      <c r="H98" s="156"/>
      <c r="I98" s="157"/>
      <c r="J98" s="157"/>
      <c r="K98" s="298"/>
    </row>
    <row r="99" spans="1:15">
      <c r="A99" s="153"/>
      <c r="B99" s="136"/>
      <c r="C99" s="136"/>
      <c r="D99" s="280"/>
      <c r="E99" s="155"/>
      <c r="F99" s="155"/>
      <c r="G99" s="157"/>
      <c r="H99" s="156"/>
      <c r="I99" s="157"/>
      <c r="J99" s="157"/>
      <c r="K99" s="298"/>
    </row>
    <row r="100" spans="1:15">
      <c r="A100" s="158"/>
      <c r="B100" s="159"/>
      <c r="C100" s="159"/>
      <c r="D100" s="280">
        <f t="shared" ref="D100:D110" si="16">G100+F100-E100</f>
        <v>0</v>
      </c>
      <c r="E100" s="155"/>
      <c r="F100" s="155"/>
      <c r="G100" s="157">
        <f t="shared" ref="G100:G110" si="17">SUM(H100:J100)</f>
        <v>0</v>
      </c>
      <c r="H100" s="156"/>
      <c r="I100" s="157"/>
      <c r="J100" s="157"/>
      <c r="K100" s="298"/>
    </row>
    <row r="101" spans="1:15">
      <c r="A101" s="158" t="s">
        <v>224</v>
      </c>
      <c r="B101" s="159"/>
      <c r="C101" s="159"/>
      <c r="D101" s="280"/>
      <c r="E101" s="155"/>
      <c r="F101" s="155"/>
      <c r="G101" s="157">
        <f t="shared" si="17"/>
        <v>0</v>
      </c>
      <c r="H101" s="156"/>
      <c r="I101" s="157"/>
      <c r="J101" s="157"/>
      <c r="K101" s="298"/>
    </row>
    <row r="102" spans="1:15">
      <c r="A102" s="158" t="s">
        <v>86</v>
      </c>
      <c r="B102" s="159"/>
      <c r="C102" s="162">
        <v>30201</v>
      </c>
      <c r="D102" s="280">
        <f>G102+F102-E102</f>
        <v>150000</v>
      </c>
      <c r="E102" s="155">
        <f>I102+J102</f>
        <v>75000</v>
      </c>
      <c r="F102" s="155"/>
      <c r="G102" s="157">
        <f>SUM(H102:J102)</f>
        <v>225000</v>
      </c>
      <c r="H102" s="156">
        <v>150000</v>
      </c>
      <c r="I102" s="157">
        <v>75000</v>
      </c>
      <c r="J102" s="157">
        <v>0</v>
      </c>
      <c r="K102" s="298">
        <f t="shared" ref="K102:K110" si="18">+ROUND(D102,0)</f>
        <v>150000</v>
      </c>
      <c r="M102" s="250" t="s">
        <v>20</v>
      </c>
      <c r="O102" s="734" t="s">
        <v>86</v>
      </c>
    </row>
    <row r="103" spans="1:15">
      <c r="A103" s="158" t="s">
        <v>22</v>
      </c>
      <c r="B103" s="159"/>
      <c r="C103" s="162">
        <v>30202</v>
      </c>
      <c r="D103" s="280">
        <f>G103+F103-E103</f>
        <v>2089458.18</v>
      </c>
      <c r="E103" s="155">
        <f>I103+J103</f>
        <v>0</v>
      </c>
      <c r="F103" s="155"/>
      <c r="G103" s="157">
        <f t="shared" si="17"/>
        <v>2089458.18</v>
      </c>
      <c r="H103" s="156">
        <v>2089458.18</v>
      </c>
      <c r="I103" s="157">
        <v>0</v>
      </c>
      <c r="J103" s="157">
        <v>0</v>
      </c>
      <c r="K103" s="298">
        <f t="shared" si="18"/>
        <v>2089458</v>
      </c>
      <c r="M103" s="250" t="s">
        <v>22</v>
      </c>
      <c r="O103" s="734" t="s">
        <v>22</v>
      </c>
    </row>
    <row r="104" spans="1:15">
      <c r="A104" s="158" t="s">
        <v>224</v>
      </c>
      <c r="B104" s="159"/>
      <c r="C104" s="162"/>
      <c r="D104" s="280">
        <f t="shared" si="16"/>
        <v>0</v>
      </c>
      <c r="E104" s="155"/>
      <c r="F104" s="155"/>
      <c r="G104" s="157">
        <f t="shared" si="17"/>
        <v>0</v>
      </c>
      <c r="H104" s="156"/>
      <c r="I104" s="157">
        <v>0</v>
      </c>
      <c r="J104" s="157"/>
      <c r="K104" s="298">
        <f t="shared" si="18"/>
        <v>0</v>
      </c>
      <c r="M104" s="250" t="s">
        <v>224</v>
      </c>
      <c r="O104" s="734" t="s">
        <v>88</v>
      </c>
    </row>
    <row r="105" spans="1:15">
      <c r="A105" s="165" t="s">
        <v>225</v>
      </c>
      <c r="B105" s="166"/>
      <c r="C105" s="210">
        <v>30301</v>
      </c>
      <c r="D105" s="811">
        <f>G105+F105-E105</f>
        <v>0</v>
      </c>
      <c r="E105" s="157"/>
      <c r="F105" s="157"/>
      <c r="G105" s="157">
        <f>SUM(H105:J105)</f>
        <v>0</v>
      </c>
      <c r="H105" s="156">
        <v>0</v>
      </c>
      <c r="I105" s="157">
        <v>0</v>
      </c>
      <c r="J105" s="157">
        <v>0</v>
      </c>
      <c r="K105" s="298">
        <f t="shared" si="18"/>
        <v>0</v>
      </c>
      <c r="M105" s="250" t="s">
        <v>21</v>
      </c>
      <c r="O105" s="734" t="s">
        <v>89</v>
      </c>
    </row>
    <row r="106" spans="1:15">
      <c r="A106" s="165" t="s">
        <v>226</v>
      </c>
      <c r="B106" s="166"/>
      <c r="C106" s="210" t="s">
        <v>833</v>
      </c>
      <c r="D106" s="280">
        <f>+G106+F106</f>
        <v>26628441.951380894</v>
      </c>
      <c r="E106" s="157"/>
      <c r="F106" s="157">
        <v>0</v>
      </c>
      <c r="G106" s="157">
        <f t="shared" si="17"/>
        <v>26628441.951380894</v>
      </c>
      <c r="H106" s="156">
        <v>26629827.571380895</v>
      </c>
      <c r="I106" s="157">
        <v>-1385.62</v>
      </c>
      <c r="J106" s="157">
        <v>0</v>
      </c>
      <c r="K106" s="298">
        <f t="shared" si="18"/>
        <v>26628442</v>
      </c>
      <c r="M106" s="250" t="s">
        <v>226</v>
      </c>
      <c r="O106" s="734" t="s">
        <v>87</v>
      </c>
    </row>
    <row r="107" spans="1:15">
      <c r="A107" s="165" t="s">
        <v>227</v>
      </c>
      <c r="B107" s="166"/>
      <c r="C107" s="210">
        <v>30310</v>
      </c>
      <c r="D107" s="280">
        <f>G107+F107-E107</f>
        <v>-2963.27</v>
      </c>
      <c r="E107" s="157"/>
      <c r="F107" s="157"/>
      <c r="G107" s="157">
        <f>SUM(H107:J107)</f>
        <v>-2963.27</v>
      </c>
      <c r="H107" s="156">
        <v>-2963.27</v>
      </c>
      <c r="I107" s="157">
        <v>0</v>
      </c>
      <c r="J107" s="157">
        <v>0</v>
      </c>
      <c r="K107" s="298">
        <f t="shared" si="18"/>
        <v>-2963</v>
      </c>
      <c r="M107" s="250" t="s">
        <v>23</v>
      </c>
      <c r="O107" s="734" t="s">
        <v>24</v>
      </c>
    </row>
    <row r="108" spans="1:15">
      <c r="A108" s="211" t="s">
        <v>228</v>
      </c>
      <c r="B108" s="212"/>
      <c r="C108" s="162">
        <v>30901</v>
      </c>
      <c r="D108" s="282">
        <f t="shared" si="16"/>
        <v>-366121.1</v>
      </c>
      <c r="E108" s="157">
        <v>0</v>
      </c>
      <c r="F108" s="155"/>
      <c r="G108" s="157">
        <f t="shared" si="17"/>
        <v>-366121.1</v>
      </c>
      <c r="H108" s="156">
        <v>-366121.1</v>
      </c>
      <c r="I108" s="157">
        <v>0</v>
      </c>
      <c r="J108" s="157">
        <v>0</v>
      </c>
      <c r="K108" s="298">
        <f t="shared" si="18"/>
        <v>-366121</v>
      </c>
      <c r="M108" s="250" t="s">
        <v>228</v>
      </c>
    </row>
    <row r="109" spans="1:15">
      <c r="A109" s="165" t="s">
        <v>229</v>
      </c>
      <c r="B109" s="166"/>
      <c r="C109" s="166"/>
      <c r="D109" s="280">
        <f t="shared" si="16"/>
        <v>0</v>
      </c>
      <c r="E109" s="155"/>
      <c r="F109" s="155"/>
      <c r="G109" s="157">
        <f t="shared" si="17"/>
        <v>0</v>
      </c>
      <c r="H109" s="156"/>
      <c r="I109" s="157"/>
      <c r="J109" s="213"/>
      <c r="K109" s="298">
        <f t="shared" si="18"/>
        <v>0</v>
      </c>
      <c r="M109" s="250" t="s">
        <v>229</v>
      </c>
    </row>
    <row r="110" spans="1:15">
      <c r="A110" s="163" t="s">
        <v>230</v>
      </c>
      <c r="B110" s="164"/>
      <c r="C110" s="164"/>
      <c r="D110" s="283">
        <f t="shared" si="16"/>
        <v>0</v>
      </c>
      <c r="E110" s="173"/>
      <c r="F110" s="173"/>
      <c r="G110" s="184">
        <f t="shared" si="17"/>
        <v>0</v>
      </c>
      <c r="H110" s="174"/>
      <c r="I110" s="173"/>
      <c r="J110" s="173"/>
      <c r="K110" s="301">
        <f t="shared" si="18"/>
        <v>0</v>
      </c>
      <c r="M110" s="250" t="s">
        <v>230</v>
      </c>
    </row>
    <row r="111" spans="1:15">
      <c r="A111" s="214" t="s">
        <v>231</v>
      </c>
      <c r="B111" s="166"/>
      <c r="C111" s="166"/>
      <c r="D111" s="282">
        <f>SUM(D100:D110)</f>
        <v>28498815.761380892</v>
      </c>
      <c r="E111" s="169">
        <f>SUM(E100:E110)</f>
        <v>75000</v>
      </c>
      <c r="F111" s="169">
        <f>SUM(F102:F110)</f>
        <v>0</v>
      </c>
      <c r="G111" s="169">
        <f>SUM(G100:G110)</f>
        <v>28573815.761380892</v>
      </c>
      <c r="H111" s="192">
        <f>SUM(H100:H110)</f>
        <v>28500201.381380893</v>
      </c>
      <c r="I111" s="169">
        <f>SUM(I102:I110)</f>
        <v>73614.38</v>
      </c>
      <c r="J111" s="169">
        <f>SUM(J102:J110)</f>
        <v>0</v>
      </c>
      <c r="K111" s="306">
        <f>SUM(K100:K110)</f>
        <v>28498816</v>
      </c>
    </row>
    <row r="112" spans="1:15" ht="13.5" thickBot="1">
      <c r="A112" s="215" t="s">
        <v>232</v>
      </c>
      <c r="B112" s="216"/>
      <c r="C112" s="216"/>
      <c r="D112" s="285">
        <f t="shared" ref="D112:J112" si="19">SUM(D96+D111)</f>
        <v>41046257.504672892</v>
      </c>
      <c r="E112" s="188">
        <f t="shared" si="19"/>
        <v>76800</v>
      </c>
      <c r="F112" s="188">
        <f t="shared" si="19"/>
        <v>0</v>
      </c>
      <c r="G112" s="188">
        <f t="shared" si="19"/>
        <v>41123057.504672892</v>
      </c>
      <c r="H112" s="189">
        <f t="shared" si="19"/>
        <v>41047643.124672897</v>
      </c>
      <c r="I112" s="188">
        <f t="shared" si="19"/>
        <v>73614.38</v>
      </c>
      <c r="J112" s="188">
        <f t="shared" si="19"/>
        <v>0</v>
      </c>
      <c r="K112" s="305">
        <f>SUM(K96+K111)</f>
        <v>41046258</v>
      </c>
    </row>
    <row r="113" spans="1:11">
      <c r="A113" s="155"/>
      <c r="B113" s="217"/>
      <c r="C113" s="217"/>
      <c r="D113" s="288">
        <f>D51-D112</f>
        <v>-4.6728998422622681E-3</v>
      </c>
      <c r="E113" s="155"/>
      <c r="F113" s="155"/>
      <c r="G113" s="155">
        <f>G51-G112</f>
        <v>-4.6728998422622681E-3</v>
      </c>
      <c r="H113" s="156">
        <f>H51-H112</f>
        <v>-4.672907292842865E-3</v>
      </c>
      <c r="I113" s="157"/>
      <c r="J113" s="157">
        <f>J51-J112</f>
        <v>0</v>
      </c>
      <c r="K113" s="298">
        <f>K51-K112</f>
        <v>1</v>
      </c>
    </row>
    <row r="114" spans="1:11">
      <c r="A114" s="155"/>
      <c r="B114" s="217"/>
      <c r="C114" s="217"/>
      <c r="D114" s="289"/>
      <c r="E114" s="155"/>
      <c r="F114" s="155"/>
      <c r="G114" s="155"/>
      <c r="H114" s="156"/>
      <c r="I114" s="157"/>
      <c r="J114" s="157"/>
      <c r="K114" s="298"/>
    </row>
    <row r="115" spans="1:11">
      <c r="A115" s="155"/>
      <c r="B115" s="217"/>
      <c r="C115" s="217"/>
      <c r="D115" s="289"/>
      <c r="E115" s="155"/>
      <c r="F115" s="155"/>
      <c r="G115" s="155"/>
      <c r="H115" s="156"/>
      <c r="I115" s="157"/>
      <c r="J115" s="157"/>
      <c r="K115" s="298"/>
    </row>
    <row r="116" spans="1:11">
      <c r="A116" s="155"/>
      <c r="B116" s="217"/>
      <c r="C116" s="217"/>
      <c r="D116" s="289"/>
      <c r="E116" s="155"/>
      <c r="F116" s="155"/>
      <c r="G116" s="155"/>
      <c r="H116" s="156"/>
      <c r="I116" s="157"/>
      <c r="J116" s="157"/>
      <c r="K116" s="298"/>
    </row>
    <row r="117" spans="1:11">
      <c r="A117" s="155"/>
      <c r="B117" s="217"/>
      <c r="C117" s="217"/>
      <c r="D117" s="289"/>
      <c r="E117" s="155"/>
      <c r="F117" s="155"/>
      <c r="G117" s="155"/>
      <c r="H117" s="156"/>
      <c r="I117" s="157"/>
      <c r="J117" s="157"/>
      <c r="K117" s="298"/>
    </row>
    <row r="118" spans="1:11">
      <c r="A118" s="155"/>
      <c r="B118" s="217"/>
      <c r="C118" s="217"/>
      <c r="D118" s="289"/>
      <c r="E118" s="155"/>
      <c r="F118" s="155"/>
      <c r="G118" s="155"/>
      <c r="H118" s="156"/>
      <c r="I118" s="157"/>
      <c r="J118" s="157"/>
      <c r="K118" s="298"/>
    </row>
    <row r="119" spans="1:11">
      <c r="A119" s="155"/>
      <c r="B119" s="217"/>
      <c r="C119" s="217"/>
      <c r="D119" s="289"/>
      <c r="E119" s="155"/>
      <c r="F119" s="155"/>
      <c r="G119" s="155"/>
      <c r="H119" s="156"/>
      <c r="I119" s="157"/>
      <c r="J119" s="157"/>
      <c r="K119" s="298"/>
    </row>
    <row r="120" spans="1:11">
      <c r="A120" s="155"/>
      <c r="B120" s="217"/>
      <c r="C120" s="217"/>
      <c r="D120" s="290"/>
      <c r="E120" s="155"/>
      <c r="F120" s="155"/>
      <c r="G120" s="155"/>
      <c r="H120" s="156"/>
      <c r="I120" s="157"/>
      <c r="J120" s="157"/>
      <c r="K120" s="298"/>
    </row>
    <row r="121" spans="1:11" ht="12.75" customHeight="1">
      <c r="A121" s="218" t="str">
        <f>A1</f>
        <v>VALORES BANISTMO S.A.  y Subsidiarias</v>
      </c>
      <c r="B121" s="219"/>
      <c r="C121" s="219"/>
      <c r="D121" s="290"/>
      <c r="E121" s="155"/>
      <c r="F121" s="155"/>
      <c r="G121" s="155"/>
      <c r="H121" s="156"/>
      <c r="I121" s="157"/>
      <c r="J121" s="157"/>
      <c r="K121" s="298"/>
    </row>
    <row r="122" spans="1:11">
      <c r="A122" s="220" t="s">
        <v>233</v>
      </c>
      <c r="B122" s="221"/>
      <c r="C122" s="221"/>
      <c r="D122" s="278"/>
      <c r="E122" s="193"/>
      <c r="F122" s="193"/>
      <c r="G122" s="193"/>
      <c r="H122" s="222"/>
      <c r="I122" s="193"/>
      <c r="J122" s="193"/>
      <c r="K122" s="296"/>
    </row>
    <row r="123" spans="1:11">
      <c r="A123" s="223">
        <f>A3</f>
        <v>43008</v>
      </c>
      <c r="B123" s="224"/>
      <c r="C123" s="224"/>
      <c r="D123" s="279"/>
      <c r="E123" s="197"/>
      <c r="F123" s="197"/>
      <c r="G123" s="197"/>
      <c r="H123" s="225"/>
      <c r="I123" s="197"/>
      <c r="J123" s="197"/>
      <c r="K123" s="307"/>
    </row>
    <row r="124" spans="1:11" ht="11.25" customHeight="1">
      <c r="A124" s="180"/>
      <c r="B124" s="159"/>
      <c r="C124" s="159"/>
      <c r="D124" s="286"/>
      <c r="E124" s="200" t="s">
        <v>141</v>
      </c>
      <c r="F124" s="201"/>
      <c r="G124" s="202"/>
      <c r="H124" s="1021" t="str">
        <f>+H4</f>
        <v>Valores Banistmo, S.A. y Subsidiarias</v>
      </c>
      <c r="I124" s="203"/>
      <c r="J124" s="1023" t="s">
        <v>832</v>
      </c>
      <c r="K124" s="1035" t="str">
        <f>+K4</f>
        <v>Valores Banistmo, S.A. y Subsidiarias</v>
      </c>
    </row>
    <row r="125" spans="1:11" ht="25.5">
      <c r="A125" s="146"/>
      <c r="B125" s="146" t="str">
        <f>B4</f>
        <v>Notas</v>
      </c>
      <c r="C125" s="146"/>
      <c r="D125" s="287" t="s">
        <v>140</v>
      </c>
      <c r="E125" s="204" t="s">
        <v>143</v>
      </c>
      <c r="F125" s="204" t="s">
        <v>144</v>
      </c>
      <c r="G125" s="204" t="s">
        <v>51</v>
      </c>
      <c r="H125" s="1022"/>
      <c r="I125" s="205" t="str">
        <f>I4</f>
        <v>SUVALOR PANAMA, S.A.</v>
      </c>
      <c r="J125" s="1024"/>
      <c r="K125" s="1036"/>
    </row>
    <row r="126" spans="1:11">
      <c r="A126" s="211"/>
      <c r="B126" s="212"/>
      <c r="C126" s="212"/>
      <c r="D126" s="280"/>
      <c r="E126" s="155"/>
      <c r="F126" s="155"/>
      <c r="G126" s="155"/>
      <c r="H126" s="156"/>
      <c r="I126" s="157"/>
      <c r="J126" s="157"/>
      <c r="K126" s="298"/>
    </row>
    <row r="127" spans="1:11">
      <c r="A127" s="226" t="s">
        <v>234</v>
      </c>
      <c r="B127" s="219"/>
      <c r="C127" s="219"/>
      <c r="D127" s="280"/>
      <c r="E127" s="155"/>
      <c r="F127" s="155"/>
      <c r="G127" s="155"/>
      <c r="H127" s="156"/>
      <c r="I127" s="157"/>
      <c r="J127" s="157"/>
      <c r="K127" s="298"/>
    </row>
    <row r="128" spans="1:11">
      <c r="A128" s="226" t="s">
        <v>235</v>
      </c>
      <c r="B128" s="219"/>
      <c r="C128" s="219"/>
      <c r="D128" s="280"/>
      <c r="E128" s="155"/>
      <c r="F128" s="155"/>
      <c r="G128" s="155"/>
      <c r="H128" s="156"/>
      <c r="I128" s="157"/>
      <c r="J128" s="157"/>
      <c r="K128" s="298"/>
    </row>
    <row r="129" spans="1:15">
      <c r="A129" s="227" t="s">
        <v>180</v>
      </c>
      <c r="B129" s="228"/>
      <c r="C129" s="228"/>
      <c r="D129" s="282">
        <f>G129+F129-E129</f>
        <v>0</v>
      </c>
      <c r="E129" s="155">
        <v>0</v>
      </c>
      <c r="F129" s="155"/>
      <c r="G129" s="157">
        <f>SUM(H129:J129)</f>
        <v>0</v>
      </c>
      <c r="H129" s="156">
        <v>0</v>
      </c>
      <c r="I129" s="157"/>
      <c r="J129" s="157"/>
      <c r="K129" s="298">
        <f>+ROUND(D129,0)</f>
        <v>0</v>
      </c>
    </row>
    <row r="130" spans="1:15">
      <c r="A130" s="211" t="s">
        <v>178</v>
      </c>
      <c r="B130" s="212"/>
      <c r="C130" s="162" t="s">
        <v>236</v>
      </c>
      <c r="D130" s="282">
        <f>G130+F130-E130</f>
        <v>170301.38999999998</v>
      </c>
      <c r="E130" s="155">
        <v>0</v>
      </c>
      <c r="F130" s="155"/>
      <c r="G130" s="157">
        <f>+J130+H130+I130</f>
        <v>170301.38999999998</v>
      </c>
      <c r="H130" s="156">
        <v>169993.16999999998</v>
      </c>
      <c r="I130" s="157">
        <v>308.22000000000003</v>
      </c>
      <c r="J130" s="157">
        <v>0</v>
      </c>
      <c r="K130" s="392">
        <f>+ROUND(D130,0)</f>
        <v>170301</v>
      </c>
      <c r="M130" s="3" t="s">
        <v>25</v>
      </c>
    </row>
    <row r="131" spans="1:15">
      <c r="A131" s="229" t="s">
        <v>237</v>
      </c>
      <c r="B131" s="230" t="s">
        <v>195</v>
      </c>
      <c r="C131" s="231">
        <v>501030102</v>
      </c>
      <c r="D131" s="283">
        <f>G131+F131-E131</f>
        <v>90640.84</v>
      </c>
      <c r="E131" s="173">
        <v>0</v>
      </c>
      <c r="F131" s="173"/>
      <c r="G131" s="184">
        <f>+J131+H131+I131</f>
        <v>90640.84</v>
      </c>
      <c r="H131" s="1005">
        <v>90640.84</v>
      </c>
      <c r="I131" s="157">
        <v>0</v>
      </c>
      <c r="J131" s="157">
        <v>0</v>
      </c>
      <c r="K131" s="392">
        <f>+ROUND(D131,0)</f>
        <v>90641</v>
      </c>
      <c r="M131" s="3" t="s">
        <v>26</v>
      </c>
    </row>
    <row r="132" spans="1:15">
      <c r="A132" s="211"/>
      <c r="B132" s="212"/>
      <c r="C132" s="212"/>
      <c r="D132" s="280">
        <f>G132+F132-E132</f>
        <v>260942.22999999998</v>
      </c>
      <c r="E132" s="157">
        <f>SUM(E129:E131)</f>
        <v>0</v>
      </c>
      <c r="F132" s="157">
        <f>SUM(F129:F131)</f>
        <v>0</v>
      </c>
      <c r="G132" s="157">
        <f>+J132+H132+I132</f>
        <v>260942.22999999998</v>
      </c>
      <c r="H132" s="168">
        <f>SUM(H129:H131)</f>
        <v>260634.00999999998</v>
      </c>
      <c r="I132" s="167">
        <f>SUM(I130:I131)</f>
        <v>308.22000000000003</v>
      </c>
      <c r="J132" s="167">
        <f>SUM(J129:J131)</f>
        <v>0</v>
      </c>
      <c r="K132" s="299">
        <f>SUM(K129:K131)</f>
        <v>260942</v>
      </c>
      <c r="O132" s="734" t="s">
        <v>62</v>
      </c>
    </row>
    <row r="133" spans="1:15">
      <c r="A133" s="232" t="s">
        <v>28</v>
      </c>
      <c r="B133" s="228"/>
      <c r="C133" s="228"/>
      <c r="D133" s="282">
        <f>G133-F141+E133</f>
        <v>0</v>
      </c>
      <c r="E133" s="157"/>
      <c r="F133" s="155"/>
      <c r="G133" s="157">
        <f t="shared" ref="G133:G144" si="20">SUM(H133:J133)</f>
        <v>0</v>
      </c>
      <c r="H133" s="156"/>
      <c r="I133" s="157"/>
      <c r="J133" s="157"/>
      <c r="K133" s="298">
        <f>+ROUND(D133,0)</f>
        <v>0</v>
      </c>
    </row>
    <row r="134" spans="1:15">
      <c r="A134" s="227" t="s">
        <v>238</v>
      </c>
      <c r="B134" s="228"/>
      <c r="C134" s="228"/>
      <c r="D134" s="282">
        <f>G134-F142+E134</f>
        <v>0</v>
      </c>
      <c r="E134" s="157"/>
      <c r="F134" s="157"/>
      <c r="G134" s="157">
        <f t="shared" si="20"/>
        <v>0</v>
      </c>
      <c r="H134" s="156"/>
      <c r="I134" s="157"/>
      <c r="J134" s="157"/>
      <c r="K134" s="298">
        <f>+ROUND(D134,0)</f>
        <v>0</v>
      </c>
    </row>
    <row r="135" spans="1:15">
      <c r="A135" s="227" t="s">
        <v>239</v>
      </c>
      <c r="B135" s="228"/>
      <c r="C135" s="228"/>
      <c r="D135" s="282">
        <f>G135-F143+E135</f>
        <v>0</v>
      </c>
      <c r="E135" s="157"/>
      <c r="F135" s="157"/>
      <c r="G135" s="157">
        <f t="shared" si="20"/>
        <v>0</v>
      </c>
      <c r="H135" s="156">
        <v>0</v>
      </c>
      <c r="I135" s="157"/>
      <c r="J135" s="157"/>
      <c r="K135" s="298">
        <f t="shared" ref="K135:K140" si="21">+ROUND(D135,0)</f>
        <v>0</v>
      </c>
    </row>
    <row r="136" spans="1:15">
      <c r="A136" s="227" t="s">
        <v>240</v>
      </c>
      <c r="B136" s="228"/>
      <c r="C136" s="228"/>
      <c r="D136" s="282">
        <f>G136-F144+E136</f>
        <v>0</v>
      </c>
      <c r="E136" s="157"/>
      <c r="F136" s="157"/>
      <c r="G136" s="157">
        <f t="shared" si="20"/>
        <v>0</v>
      </c>
      <c r="H136" s="156"/>
      <c r="I136" s="157"/>
      <c r="J136" s="157"/>
      <c r="K136" s="298">
        <f t="shared" si="21"/>
        <v>0</v>
      </c>
    </row>
    <row r="137" spans="1:15">
      <c r="A137" s="227" t="s">
        <v>241</v>
      </c>
      <c r="B137" s="228"/>
      <c r="C137" s="228"/>
      <c r="D137" s="282">
        <f>G137-F146+E137</f>
        <v>0</v>
      </c>
      <c r="E137" s="157"/>
      <c r="F137" s="157"/>
      <c r="G137" s="157">
        <f t="shared" si="20"/>
        <v>0</v>
      </c>
      <c r="H137" s="156"/>
      <c r="I137" s="157"/>
      <c r="J137" s="157"/>
      <c r="K137" s="298">
        <f t="shared" si="21"/>
        <v>0</v>
      </c>
    </row>
    <row r="138" spans="1:15">
      <c r="A138" s="227" t="s">
        <v>242</v>
      </c>
      <c r="B138" s="228"/>
      <c r="C138" s="228"/>
      <c r="D138" s="282">
        <f>G138-F147+E138</f>
        <v>0</v>
      </c>
      <c r="E138" s="157"/>
      <c r="F138" s="157"/>
      <c r="G138" s="157">
        <f t="shared" si="20"/>
        <v>0</v>
      </c>
      <c r="H138" s="156"/>
      <c r="I138" s="157"/>
      <c r="J138" s="157"/>
      <c r="K138" s="298">
        <f t="shared" si="21"/>
        <v>0</v>
      </c>
    </row>
    <row r="139" spans="1:15">
      <c r="A139" s="227" t="s">
        <v>243</v>
      </c>
      <c r="B139" s="228"/>
      <c r="C139" s="228"/>
      <c r="D139" s="282">
        <f>G139-F148+E139</f>
        <v>0</v>
      </c>
      <c r="E139" s="157"/>
      <c r="F139" s="157"/>
      <c r="G139" s="157">
        <f t="shared" si="20"/>
        <v>0</v>
      </c>
      <c r="H139" s="156"/>
      <c r="I139" s="157"/>
      <c r="J139" s="157"/>
      <c r="K139" s="298">
        <f t="shared" si="21"/>
        <v>0</v>
      </c>
    </row>
    <row r="140" spans="1:15">
      <c r="A140" s="227" t="s">
        <v>29</v>
      </c>
      <c r="B140" s="228"/>
      <c r="C140" s="228"/>
      <c r="D140" s="282">
        <f>+J140+H140</f>
        <v>788.6</v>
      </c>
      <c r="E140" s="157"/>
      <c r="F140" s="157"/>
      <c r="G140" s="157">
        <f t="shared" si="20"/>
        <v>788.6</v>
      </c>
      <c r="H140" s="156">
        <v>788.6</v>
      </c>
      <c r="I140" s="157"/>
      <c r="J140" s="157"/>
      <c r="K140" s="298">
        <f t="shared" si="21"/>
        <v>789</v>
      </c>
      <c r="M140" s="3" t="s">
        <v>29</v>
      </c>
    </row>
    <row r="141" spans="1:15">
      <c r="A141" s="233" t="s">
        <v>244</v>
      </c>
      <c r="B141" s="234">
        <v>23</v>
      </c>
      <c r="C141" s="234"/>
      <c r="D141" s="284">
        <f>G141-F150+E141</f>
        <v>788.6</v>
      </c>
      <c r="E141" s="182"/>
      <c r="F141" s="182"/>
      <c r="G141" s="182">
        <f t="shared" si="20"/>
        <v>788.6</v>
      </c>
      <c r="H141" s="185">
        <f>SUM(H134:H140)</f>
        <v>788.6</v>
      </c>
      <c r="I141" s="182"/>
      <c r="J141" s="182">
        <f>SUM(J134:J140)</f>
        <v>0</v>
      </c>
      <c r="K141" s="304">
        <f>SUM(K134:K140)</f>
        <v>789</v>
      </c>
    </row>
    <row r="142" spans="1:15">
      <c r="A142" s="227" t="s">
        <v>245</v>
      </c>
      <c r="B142" s="212"/>
      <c r="C142" s="212"/>
      <c r="D142" s="282">
        <f>D132-D141</f>
        <v>260153.62999999998</v>
      </c>
      <c r="E142" s="157">
        <v>0</v>
      </c>
      <c r="F142" s="157">
        <f>F132-F141*-1</f>
        <v>0</v>
      </c>
      <c r="G142" s="157">
        <f>SUM(H142:J142)</f>
        <v>260153.62999999998</v>
      </c>
      <c r="H142" s="156">
        <f>H132-H141</f>
        <v>259845.40999999997</v>
      </c>
      <c r="I142" s="157">
        <f>I132-I141</f>
        <v>308.22000000000003</v>
      </c>
      <c r="J142" s="157">
        <f>J132-J141</f>
        <v>0</v>
      </c>
      <c r="K142" s="298">
        <f>K132-K141</f>
        <v>260153</v>
      </c>
      <c r="L142" s="161"/>
    </row>
    <row r="143" spans="1:15">
      <c r="A143" s="227" t="s">
        <v>246</v>
      </c>
      <c r="B143" s="212"/>
      <c r="C143" s="212"/>
      <c r="D143" s="291">
        <f>G143+F143-E143</f>
        <v>0</v>
      </c>
      <c r="E143" s="157"/>
      <c r="F143" s="157"/>
      <c r="G143" s="157">
        <f t="shared" si="20"/>
        <v>0</v>
      </c>
      <c r="H143" s="156">
        <v>0</v>
      </c>
      <c r="I143" s="157"/>
      <c r="J143" s="157"/>
      <c r="K143" s="298">
        <v>0</v>
      </c>
    </row>
    <row r="144" spans="1:15">
      <c r="A144" s="227" t="s">
        <v>247</v>
      </c>
      <c r="B144" s="212"/>
      <c r="C144" s="212"/>
      <c r="D144" s="291">
        <f>G144+F144-E144</f>
        <v>0</v>
      </c>
      <c r="E144" s="157"/>
      <c r="F144" s="157"/>
      <c r="G144" s="157">
        <f t="shared" si="20"/>
        <v>0</v>
      </c>
      <c r="H144" s="156"/>
      <c r="I144" s="157"/>
      <c r="J144" s="157">
        <v>0</v>
      </c>
      <c r="K144" s="298"/>
    </row>
    <row r="145" spans="1:15">
      <c r="A145" s="227" t="s">
        <v>248</v>
      </c>
      <c r="B145" s="212"/>
      <c r="C145" s="171">
        <v>60306</v>
      </c>
      <c r="D145" s="291">
        <f>+J145+H144</f>
        <v>0</v>
      </c>
      <c r="E145" s="157"/>
      <c r="F145" s="157"/>
      <c r="G145" s="157">
        <f>+J145</f>
        <v>0</v>
      </c>
      <c r="H145" s="156"/>
      <c r="I145" s="157"/>
      <c r="J145" s="157"/>
      <c r="K145" s="298"/>
    </row>
    <row r="146" spans="1:15" s="74" customFormat="1">
      <c r="A146" s="229" t="s">
        <v>249</v>
      </c>
      <c r="B146" s="230"/>
      <c r="C146" s="230"/>
      <c r="D146" s="292">
        <f>G146+F146-E146</f>
        <v>0</v>
      </c>
      <c r="E146" s="173"/>
      <c r="F146" s="173"/>
      <c r="G146" s="173">
        <f>SUM(H146:J146)</f>
        <v>0</v>
      </c>
      <c r="H146" s="174"/>
      <c r="I146" s="173"/>
      <c r="J146" s="173">
        <v>0</v>
      </c>
      <c r="K146" s="301"/>
      <c r="O146" s="735"/>
    </row>
    <row r="147" spans="1:15" ht="25.5">
      <c r="A147" s="236" t="s">
        <v>250</v>
      </c>
      <c r="B147" s="230"/>
      <c r="C147" s="230"/>
      <c r="D147" s="293">
        <f>+D142+D146+D143+D144-D145</f>
        <v>260153.62999999998</v>
      </c>
      <c r="E147" s="173">
        <f>+E142-E146</f>
        <v>0</v>
      </c>
      <c r="F147" s="173">
        <f>+F142-F146</f>
        <v>0</v>
      </c>
      <c r="G147" s="173">
        <f>+G142-G145</f>
        <v>260153.62999999998</v>
      </c>
      <c r="H147" s="174">
        <f>+H142+H143</f>
        <v>259845.40999999997</v>
      </c>
      <c r="I147" s="652">
        <f>+I142+I146+I144-I145</f>
        <v>308.22000000000003</v>
      </c>
      <c r="J147" s="173">
        <f>+J142+J146+J144-J145</f>
        <v>0</v>
      </c>
      <c r="K147" s="301">
        <f>+K142+K143</f>
        <v>260153</v>
      </c>
    </row>
    <row r="148" spans="1:15">
      <c r="A148" s="211"/>
      <c r="B148" s="212"/>
      <c r="C148" s="212"/>
      <c r="D148" s="282"/>
      <c r="E148" s="169"/>
      <c r="F148" s="169"/>
      <c r="G148" s="157">
        <f>SUM(H148:J148)</f>
        <v>0</v>
      </c>
      <c r="H148" s="192"/>
      <c r="I148" s="169"/>
      <c r="J148" s="169"/>
      <c r="K148" s="306"/>
    </row>
    <row r="149" spans="1:15">
      <c r="A149" s="226" t="s">
        <v>251</v>
      </c>
      <c r="B149" s="212"/>
      <c r="C149" s="212"/>
      <c r="D149" s="280">
        <f>G149+F149-E149</f>
        <v>0</v>
      </c>
      <c r="E149" s="155"/>
      <c r="F149" s="155"/>
      <c r="G149" s="157">
        <f>SUM(H149:J149)</f>
        <v>0</v>
      </c>
      <c r="H149" s="156"/>
      <c r="I149" s="157"/>
      <c r="J149" s="157"/>
      <c r="K149" s="298"/>
    </row>
    <row r="150" spans="1:15">
      <c r="A150" s="211" t="s">
        <v>252</v>
      </c>
      <c r="B150" s="212"/>
      <c r="C150" s="212"/>
      <c r="D150" s="280">
        <f>G150+F150-E150</f>
        <v>0</v>
      </c>
      <c r="E150" s="155"/>
      <c r="F150" s="155"/>
      <c r="G150" s="157">
        <f>SUM(H150:J150)</f>
        <v>0</v>
      </c>
      <c r="H150" s="156"/>
      <c r="I150" s="157"/>
      <c r="J150" s="157"/>
      <c r="K150" s="298">
        <f t="shared" ref="K150:K155" si="22">+ROUND(D150,0)</f>
        <v>0</v>
      </c>
    </row>
    <row r="151" spans="1:15" s="74" customFormat="1">
      <c r="A151" s="227" t="s">
        <v>253</v>
      </c>
      <c r="B151" s="228">
        <v>24</v>
      </c>
      <c r="C151" s="162" t="s">
        <v>254</v>
      </c>
      <c r="D151" s="282">
        <f>G151+F151-E151</f>
        <v>1228297.6801869159</v>
      </c>
      <c r="E151" s="157"/>
      <c r="F151" s="157"/>
      <c r="G151" s="157">
        <f>+H151+J151+I151</f>
        <v>1228297.6801869159</v>
      </c>
      <c r="H151" s="156">
        <v>1228297.6801869159</v>
      </c>
      <c r="I151" s="157">
        <v>0</v>
      </c>
      <c r="J151" s="157"/>
      <c r="K151" s="392">
        <f t="shared" si="22"/>
        <v>1228298</v>
      </c>
      <c r="L151" s="816"/>
      <c r="M151" s="74" t="s">
        <v>27</v>
      </c>
      <c r="O151" s="735" t="s">
        <v>62</v>
      </c>
    </row>
    <row r="152" spans="1:15">
      <c r="A152" s="211" t="s">
        <v>255</v>
      </c>
      <c r="B152" s="212">
        <v>37</v>
      </c>
      <c r="C152" s="162" t="s">
        <v>256</v>
      </c>
      <c r="D152" s="282">
        <f>G152+F152-E152</f>
        <v>109074</v>
      </c>
      <c r="E152" s="157"/>
      <c r="F152" s="157"/>
      <c r="G152" s="157">
        <f>+H152+J152+I152</f>
        <v>109074</v>
      </c>
      <c r="H152" s="156">
        <v>109074</v>
      </c>
      <c r="I152" s="157">
        <v>0</v>
      </c>
      <c r="J152" s="157"/>
      <c r="K152" s="393">
        <f t="shared" si="22"/>
        <v>109074</v>
      </c>
      <c r="L152" s="816"/>
    </row>
    <row r="153" spans="1:15">
      <c r="A153" s="211" t="s">
        <v>257</v>
      </c>
      <c r="B153" s="212"/>
      <c r="C153" s="237">
        <v>5030301</v>
      </c>
      <c r="D153" s="280">
        <f>G153+F153-E153</f>
        <v>0</v>
      </c>
      <c r="E153" s="157"/>
      <c r="F153" s="157"/>
      <c r="G153" s="157">
        <f>+H153+J153+I153</f>
        <v>0</v>
      </c>
      <c r="H153" s="156">
        <v>0</v>
      </c>
      <c r="I153" s="157">
        <v>0</v>
      </c>
      <c r="J153" s="157"/>
      <c r="K153" s="393">
        <f t="shared" si="22"/>
        <v>0</v>
      </c>
      <c r="L153" s="816"/>
    </row>
    <row r="154" spans="1:15" s="74" customFormat="1">
      <c r="A154" s="227" t="s">
        <v>258</v>
      </c>
      <c r="B154" s="228">
        <v>25</v>
      </c>
      <c r="C154" s="162" t="s">
        <v>259</v>
      </c>
      <c r="D154" s="282">
        <f>G154+F154+E154</f>
        <v>-525315.47329200001</v>
      </c>
      <c r="E154" s="157"/>
      <c r="F154" s="157">
        <v>0</v>
      </c>
      <c r="G154" s="157">
        <f>+H154+J154+I154</f>
        <v>-525315.47329200001</v>
      </c>
      <c r="H154" s="156">
        <v>-525315.47329200001</v>
      </c>
      <c r="I154" s="157">
        <v>0</v>
      </c>
      <c r="J154" s="157">
        <v>0</v>
      </c>
      <c r="K154" s="298">
        <f>+ROUND(D154,0)</f>
        <v>-525315</v>
      </c>
      <c r="L154" s="816"/>
      <c r="M154" s="74" t="s">
        <v>30</v>
      </c>
      <c r="O154" s="735" t="s">
        <v>63</v>
      </c>
    </row>
    <row r="155" spans="1:15">
      <c r="A155" s="229" t="s">
        <v>260</v>
      </c>
      <c r="B155" s="230">
        <v>26</v>
      </c>
      <c r="C155" s="160">
        <v>5030406</v>
      </c>
      <c r="D155" s="282">
        <f>G155-F155+E155</f>
        <v>7222.73</v>
      </c>
      <c r="E155" s="173"/>
      <c r="F155" s="173">
        <v>0</v>
      </c>
      <c r="G155" s="157">
        <f>+H155+J155+I155</f>
        <v>7222.73</v>
      </c>
      <c r="H155" s="1005">
        <v>7222.73</v>
      </c>
      <c r="I155" s="157">
        <v>0</v>
      </c>
      <c r="J155" s="173">
        <v>0</v>
      </c>
      <c r="K155" s="393">
        <f t="shared" si="22"/>
        <v>7223</v>
      </c>
      <c r="L155" s="816"/>
      <c r="M155" s="3" t="s">
        <v>33</v>
      </c>
    </row>
    <row r="156" spans="1:15">
      <c r="A156" s="238" t="s">
        <v>261</v>
      </c>
      <c r="B156" s="234"/>
      <c r="C156" s="234"/>
      <c r="D156" s="284">
        <f>G156+F156+E156</f>
        <v>819278.93689491588</v>
      </c>
      <c r="E156" s="182">
        <f>SUM(E151:E154)</f>
        <v>0</v>
      </c>
      <c r="F156" s="182">
        <f>SUM(F151:F154)</f>
        <v>0</v>
      </c>
      <c r="G156" s="182">
        <f>+G151+G152+G153+G154+G155</f>
        <v>819278.93689491588</v>
      </c>
      <c r="H156" s="185">
        <f>+H151+H152+H153+H154+H155</f>
        <v>819278.93689491588</v>
      </c>
      <c r="I156" s="185">
        <f>+I151+I152+I153+I154+I155</f>
        <v>0</v>
      </c>
      <c r="J156" s="182">
        <f>+J151+J152+J153+J154+J155</f>
        <v>0</v>
      </c>
      <c r="K156" s="304">
        <f>+K151+K152+K153+K154+K155</f>
        <v>819280</v>
      </c>
      <c r="L156" s="161"/>
    </row>
    <row r="157" spans="1:15">
      <c r="A157" s="211"/>
      <c r="B157" s="212"/>
      <c r="C157" s="212"/>
      <c r="D157" s="282"/>
      <c r="E157" s="157"/>
      <c r="F157" s="157"/>
      <c r="G157" s="157"/>
      <c r="H157" s="156"/>
      <c r="I157" s="157"/>
      <c r="J157" s="157"/>
      <c r="K157" s="298"/>
    </row>
    <row r="158" spans="1:15">
      <c r="A158" s="238" t="s">
        <v>262</v>
      </c>
      <c r="B158" s="239"/>
      <c r="C158" s="239"/>
      <c r="D158" s="283">
        <f t="shared" ref="D158:K158" si="23">+D147+D156</f>
        <v>1079432.5668949159</v>
      </c>
      <c r="E158" s="172">
        <f t="shared" si="23"/>
        <v>0</v>
      </c>
      <c r="F158" s="172">
        <f t="shared" si="23"/>
        <v>0</v>
      </c>
      <c r="G158" s="172">
        <f t="shared" si="23"/>
        <v>1079432.5668949159</v>
      </c>
      <c r="H158" s="240">
        <f t="shared" si="23"/>
        <v>1079124.3468949159</v>
      </c>
      <c r="I158" s="240">
        <f t="shared" si="23"/>
        <v>308.22000000000003</v>
      </c>
      <c r="J158" s="240">
        <f t="shared" si="23"/>
        <v>0</v>
      </c>
      <c r="K158" s="308">
        <f t="shared" si="23"/>
        <v>1079433</v>
      </c>
    </row>
    <row r="159" spans="1:15">
      <c r="A159" s="211"/>
      <c r="B159" s="212"/>
      <c r="C159" s="212"/>
      <c r="D159" s="289"/>
      <c r="E159" s="155"/>
      <c r="F159" s="155"/>
      <c r="G159" s="157">
        <f>SUM(H159:J159)</f>
        <v>0</v>
      </c>
      <c r="H159" s="156"/>
      <c r="I159" s="157"/>
      <c r="J159" s="157"/>
      <c r="K159" s="298"/>
    </row>
    <row r="160" spans="1:15">
      <c r="A160" s="241" t="s">
        <v>34</v>
      </c>
      <c r="B160" s="242"/>
      <c r="C160" s="242"/>
      <c r="D160" s="280"/>
      <c r="E160" s="155"/>
      <c r="F160" s="155"/>
      <c r="G160" s="157">
        <f>SUM(H160:J160)</f>
        <v>0</v>
      </c>
      <c r="H160" s="156"/>
      <c r="I160" s="157"/>
      <c r="J160" s="157"/>
      <c r="K160" s="298"/>
    </row>
    <row r="161" spans="1:15">
      <c r="A161" s="211" t="s">
        <v>263</v>
      </c>
      <c r="B161" s="212"/>
      <c r="C161" s="212" t="s">
        <v>264</v>
      </c>
      <c r="D161" s="280">
        <f t="shared" ref="D161:D170" si="24">G161-F161+E161</f>
        <v>451326.42000000004</v>
      </c>
      <c r="E161" s="155"/>
      <c r="F161" s="155"/>
      <c r="G161" s="157">
        <f>+H161+J161+I161</f>
        <v>451326.42000000004</v>
      </c>
      <c r="H161" s="156">
        <v>451326.42000000004</v>
      </c>
      <c r="I161" s="157">
        <v>0</v>
      </c>
      <c r="J161" s="157">
        <v>0</v>
      </c>
      <c r="K161" s="298">
        <f t="shared" ref="K161:K170" si="25">+ROUND(D161,0)</f>
        <v>451326</v>
      </c>
      <c r="M161" s="3" t="s">
        <v>35</v>
      </c>
    </row>
    <row r="162" spans="1:15">
      <c r="A162" s="211" t="s">
        <v>265</v>
      </c>
      <c r="B162" s="212"/>
      <c r="C162" s="212"/>
      <c r="D162" s="280">
        <f t="shared" si="24"/>
        <v>0</v>
      </c>
      <c r="E162" s="155"/>
      <c r="F162" s="155"/>
      <c r="G162" s="157">
        <f t="shared" ref="G162:G169" si="26">+H162+J162+I162</f>
        <v>0</v>
      </c>
      <c r="H162" s="156">
        <v>0</v>
      </c>
      <c r="I162" s="157">
        <v>0</v>
      </c>
      <c r="J162" s="157">
        <v>0</v>
      </c>
      <c r="K162" s="298">
        <f t="shared" si="25"/>
        <v>0</v>
      </c>
    </row>
    <row r="163" spans="1:15">
      <c r="A163" s="211" t="s">
        <v>266</v>
      </c>
      <c r="B163" s="212"/>
      <c r="C163" s="162">
        <v>6041007</v>
      </c>
      <c r="D163" s="280">
        <f>G163-F163+E163</f>
        <v>0</v>
      </c>
      <c r="E163" s="155"/>
      <c r="F163" s="155"/>
      <c r="G163" s="157">
        <f t="shared" si="26"/>
        <v>0</v>
      </c>
      <c r="H163" s="156">
        <v>0</v>
      </c>
      <c r="I163" s="157">
        <v>0</v>
      </c>
      <c r="J163" s="157">
        <v>0</v>
      </c>
      <c r="K163" s="298">
        <f>+ROUND(D163,0)</f>
        <v>0</v>
      </c>
    </row>
    <row r="164" spans="1:15">
      <c r="A164" s="211" t="s">
        <v>267</v>
      </c>
      <c r="B164" s="212"/>
      <c r="C164" s="162">
        <v>6040202</v>
      </c>
      <c r="D164" s="280">
        <f t="shared" si="24"/>
        <v>0</v>
      </c>
      <c r="E164" s="155"/>
      <c r="F164" s="155"/>
      <c r="G164" s="157">
        <f t="shared" si="26"/>
        <v>0</v>
      </c>
      <c r="H164" s="156">
        <v>0</v>
      </c>
      <c r="I164" s="157">
        <v>0</v>
      </c>
      <c r="J164" s="157"/>
      <c r="K164" s="298">
        <f t="shared" si="25"/>
        <v>0</v>
      </c>
      <c r="M164" s="3" t="s">
        <v>42</v>
      </c>
    </row>
    <row r="165" spans="1:15">
      <c r="A165" s="211" t="s">
        <v>268</v>
      </c>
      <c r="B165" s="212"/>
      <c r="C165" s="162">
        <v>6041015</v>
      </c>
      <c r="D165" s="280">
        <f t="shared" si="24"/>
        <v>2266</v>
      </c>
      <c r="E165" s="155"/>
      <c r="F165" s="155"/>
      <c r="G165" s="157">
        <f t="shared" si="26"/>
        <v>2266</v>
      </c>
      <c r="H165" s="156">
        <v>2266</v>
      </c>
      <c r="I165" s="157">
        <v>0</v>
      </c>
      <c r="J165" s="157"/>
      <c r="K165" s="298">
        <f t="shared" si="25"/>
        <v>2266</v>
      </c>
      <c r="M165" s="3" t="s">
        <v>42</v>
      </c>
    </row>
    <row r="166" spans="1:15">
      <c r="A166" s="211" t="s">
        <v>269</v>
      </c>
      <c r="B166" s="212"/>
      <c r="C166" s="212"/>
      <c r="D166" s="280">
        <f t="shared" si="24"/>
        <v>36</v>
      </c>
      <c r="E166" s="155"/>
      <c r="F166" s="155"/>
      <c r="G166" s="157">
        <f t="shared" si="26"/>
        <v>36</v>
      </c>
      <c r="H166" s="156">
        <v>36</v>
      </c>
      <c r="I166" s="157">
        <v>0</v>
      </c>
      <c r="J166" s="157">
        <v>0</v>
      </c>
      <c r="K166" s="298">
        <f t="shared" si="25"/>
        <v>36</v>
      </c>
    </row>
    <row r="167" spans="1:15">
      <c r="A167" s="211" t="s">
        <v>41</v>
      </c>
      <c r="B167" s="212"/>
      <c r="C167" s="162" t="s">
        <v>270</v>
      </c>
      <c r="D167" s="280">
        <f t="shared" si="24"/>
        <v>62640.78</v>
      </c>
      <c r="E167" s="155"/>
      <c r="F167" s="155"/>
      <c r="G167" s="157">
        <f t="shared" si="26"/>
        <v>62640.78</v>
      </c>
      <c r="H167" s="156">
        <v>62640.78</v>
      </c>
      <c r="I167" s="157">
        <v>0</v>
      </c>
      <c r="J167" s="157"/>
      <c r="K167" s="298">
        <f t="shared" si="25"/>
        <v>62641</v>
      </c>
      <c r="M167" s="3" t="s">
        <v>41</v>
      </c>
    </row>
    <row r="168" spans="1:15">
      <c r="A168" s="211" t="s">
        <v>271</v>
      </c>
      <c r="B168" s="212"/>
      <c r="C168" s="162">
        <v>604020704</v>
      </c>
      <c r="D168" s="280">
        <f t="shared" si="24"/>
        <v>75287.88</v>
      </c>
      <c r="E168" s="155"/>
      <c r="F168" s="155"/>
      <c r="G168" s="157">
        <f t="shared" si="26"/>
        <v>75287.88</v>
      </c>
      <c r="H168" s="156">
        <v>75287.88</v>
      </c>
      <c r="I168" s="157">
        <v>0</v>
      </c>
      <c r="J168" s="157"/>
      <c r="K168" s="298">
        <f t="shared" si="25"/>
        <v>75288</v>
      </c>
      <c r="M168" s="3" t="s">
        <v>40</v>
      </c>
    </row>
    <row r="169" spans="1:15">
      <c r="A169" s="211" t="s">
        <v>39</v>
      </c>
      <c r="B169" s="212"/>
      <c r="C169" s="162">
        <v>6040205</v>
      </c>
      <c r="D169" s="280">
        <f t="shared" si="24"/>
        <v>79376</v>
      </c>
      <c r="E169" s="155"/>
      <c r="F169" s="155"/>
      <c r="G169" s="157">
        <f t="shared" si="26"/>
        <v>79376</v>
      </c>
      <c r="H169" s="156">
        <v>79376</v>
      </c>
      <c r="I169" s="157">
        <v>0</v>
      </c>
      <c r="J169" s="157">
        <v>0</v>
      </c>
      <c r="K169" s="298">
        <f t="shared" si="25"/>
        <v>79376</v>
      </c>
      <c r="M169" s="3" t="s">
        <v>39</v>
      </c>
    </row>
    <row r="170" spans="1:15">
      <c r="A170" s="211" t="s">
        <v>272</v>
      </c>
      <c r="B170" s="212"/>
      <c r="C170" s="212"/>
      <c r="D170" s="280">
        <f t="shared" si="24"/>
        <v>0</v>
      </c>
      <c r="E170" s="155"/>
      <c r="F170" s="155"/>
      <c r="G170" s="157">
        <f>+H170+J170+I170</f>
        <v>0</v>
      </c>
      <c r="H170" s="243">
        <v>0</v>
      </c>
      <c r="I170" s="235">
        <v>0</v>
      </c>
      <c r="J170" s="157"/>
      <c r="K170" s="309">
        <f t="shared" si="25"/>
        <v>0</v>
      </c>
    </row>
    <row r="171" spans="1:15">
      <c r="A171" s="229" t="s">
        <v>273</v>
      </c>
      <c r="B171" s="230">
        <v>27</v>
      </c>
      <c r="C171" s="231" t="s">
        <v>274</v>
      </c>
      <c r="D171" s="283">
        <f>G171-F171+E171</f>
        <v>230044.52</v>
      </c>
      <c r="E171" s="173"/>
      <c r="F171" s="173">
        <v>0</v>
      </c>
      <c r="G171" s="157">
        <f>+H171+J171+I171</f>
        <v>230044.52</v>
      </c>
      <c r="H171" s="156">
        <v>228509.36</v>
      </c>
      <c r="I171" s="157">
        <v>900</v>
      </c>
      <c r="J171" s="157">
        <v>635.16</v>
      </c>
      <c r="K171" s="298">
        <f>+ROUND(D171,0)</f>
        <v>230045</v>
      </c>
    </row>
    <row r="172" spans="1:15">
      <c r="A172" s="244" t="s">
        <v>44</v>
      </c>
      <c r="B172" s="239"/>
      <c r="C172" s="239"/>
      <c r="D172" s="283">
        <f>SUM(D161:D171)</f>
        <v>900977.60000000009</v>
      </c>
      <c r="E172" s="173">
        <f>SUM(E161:E171)</f>
        <v>0</v>
      </c>
      <c r="F172" s="173">
        <f>SUM(F161:F171)</f>
        <v>0</v>
      </c>
      <c r="G172" s="182">
        <f>+H172+J172</f>
        <v>900077.60000000009</v>
      </c>
      <c r="H172" s="185">
        <f>SUM(H161:H171)</f>
        <v>899442.44000000006</v>
      </c>
      <c r="I172" s="182">
        <f>SUM(I161:I171)</f>
        <v>900</v>
      </c>
      <c r="J172" s="182">
        <f>SUM(J161:J171)</f>
        <v>635.16</v>
      </c>
      <c r="K172" s="304">
        <f>SUM(K161:K171)</f>
        <v>900978</v>
      </c>
      <c r="L172" s="245"/>
      <c r="M172" s="245"/>
      <c r="N172" s="245"/>
    </row>
    <row r="173" spans="1:15">
      <c r="A173" s="211"/>
      <c r="B173" s="212"/>
      <c r="C173" s="212"/>
      <c r="D173" s="280"/>
      <c r="E173" s="155"/>
      <c r="F173" s="155"/>
      <c r="G173" s="157">
        <f>SUM(H173:J173)</f>
        <v>0</v>
      </c>
      <c r="H173" s="156"/>
      <c r="I173" s="157"/>
      <c r="J173" s="157"/>
      <c r="K173" s="298"/>
      <c r="L173" s="245"/>
      <c r="M173" s="245"/>
      <c r="N173" s="245"/>
    </row>
    <row r="174" spans="1:15" ht="25.5">
      <c r="A174" s="246" t="s">
        <v>275</v>
      </c>
      <c r="B174" s="247"/>
      <c r="C174" s="247"/>
      <c r="D174" s="280">
        <f>SUM(D158-D172)</f>
        <v>178454.96689491579</v>
      </c>
      <c r="E174" s="155">
        <f>SUM(E158+E172)</f>
        <v>0</v>
      </c>
      <c r="F174" s="155"/>
      <c r="G174" s="157">
        <f>+H174+J174+I174</f>
        <v>178454.96689491585</v>
      </c>
      <c r="H174" s="791">
        <f>H158-H172</f>
        <v>179681.90689491585</v>
      </c>
      <c r="I174" s="792">
        <f>I158-I172</f>
        <v>-591.78</v>
      </c>
      <c r="J174" s="792">
        <f>SUM(J158-J172)</f>
        <v>-635.16</v>
      </c>
      <c r="K174" s="298">
        <f>SUM(K158-K172)</f>
        <v>178455</v>
      </c>
    </row>
    <row r="175" spans="1:15">
      <c r="A175" s="211"/>
      <c r="B175" s="212"/>
      <c r="C175" s="212"/>
      <c r="D175" s="290"/>
      <c r="E175" s="155"/>
      <c r="F175" s="155"/>
      <c r="G175" s="157">
        <f>+H175+J175</f>
        <v>0</v>
      </c>
      <c r="H175" s="156"/>
      <c r="I175" s="157">
        <v>0</v>
      </c>
      <c r="J175" s="157"/>
      <c r="K175" s="298">
        <f>+ROUND(D175,0)</f>
        <v>0</v>
      </c>
    </row>
    <row r="176" spans="1:15">
      <c r="A176" s="211" t="s">
        <v>276</v>
      </c>
      <c r="B176" s="212"/>
      <c r="C176" s="248">
        <v>60501</v>
      </c>
      <c r="D176" s="282">
        <f>(G176-F176+E176)</f>
        <v>-16470.79</v>
      </c>
      <c r="E176" s="157"/>
      <c r="F176" s="157"/>
      <c r="G176" s="157">
        <f>+H176+J176+I176</f>
        <v>-16470.79</v>
      </c>
      <c r="H176" s="156">
        <v>-16470.79</v>
      </c>
      <c r="I176" s="157">
        <v>0</v>
      </c>
      <c r="J176" s="157">
        <v>0</v>
      </c>
      <c r="K176" s="298">
        <f>+ROUND(D176,0)</f>
        <v>-16471</v>
      </c>
      <c r="O176" s="734" t="s">
        <v>64</v>
      </c>
    </row>
    <row r="177" spans="1:15">
      <c r="A177" s="211" t="s">
        <v>277</v>
      </c>
      <c r="B177" s="212"/>
      <c r="C177" s="248">
        <v>60502</v>
      </c>
      <c r="D177" s="282">
        <f>G177-F177+E177</f>
        <v>-21722.37</v>
      </c>
      <c r="E177" s="157"/>
      <c r="F177" s="157"/>
      <c r="G177" s="157">
        <f>+H177+J177+I177</f>
        <v>-21722.37</v>
      </c>
      <c r="H177" s="156">
        <v>-21722.37</v>
      </c>
      <c r="I177" s="157">
        <v>0</v>
      </c>
      <c r="J177" s="157">
        <v>0</v>
      </c>
      <c r="K177" s="298">
        <f>+ROUND(D177,0)</f>
        <v>-21722</v>
      </c>
      <c r="O177" s="734" t="s">
        <v>64</v>
      </c>
    </row>
    <row r="178" spans="1:15">
      <c r="A178" s="229" t="s">
        <v>278</v>
      </c>
      <c r="B178" s="230"/>
      <c r="C178" s="249">
        <v>60501</v>
      </c>
      <c r="D178" s="283"/>
      <c r="E178" s="157"/>
      <c r="F178" s="157"/>
      <c r="G178" s="157">
        <f>+H178+J178</f>
        <v>0</v>
      </c>
      <c r="H178" s="156"/>
      <c r="I178" s="157">
        <v>0</v>
      </c>
      <c r="J178" s="157"/>
      <c r="K178" s="298"/>
      <c r="L178" s="250"/>
      <c r="M178" s="250"/>
      <c r="N178" s="250"/>
    </row>
    <row r="179" spans="1:15">
      <c r="A179" s="251" t="s">
        <v>279</v>
      </c>
      <c r="B179" s="234"/>
      <c r="C179" s="234"/>
      <c r="D179" s="284">
        <f t="shared" ref="D179:I179" si="27">SUM(D176:D178)</f>
        <v>-38193.160000000003</v>
      </c>
      <c r="E179" s="182">
        <f t="shared" si="27"/>
        <v>0</v>
      </c>
      <c r="F179" s="182">
        <f t="shared" si="27"/>
        <v>0</v>
      </c>
      <c r="G179" s="182">
        <f t="shared" si="27"/>
        <v>-38193.160000000003</v>
      </c>
      <c r="H179" s="185">
        <f t="shared" si="27"/>
        <v>-38193.160000000003</v>
      </c>
      <c r="I179" s="185">
        <f t="shared" si="27"/>
        <v>0</v>
      </c>
      <c r="J179" s="182">
        <f>SUM(J176:J177)</f>
        <v>0</v>
      </c>
      <c r="K179" s="304">
        <f>SUM(K176:K178)</f>
        <v>-38193</v>
      </c>
      <c r="M179" s="3" t="s">
        <v>45</v>
      </c>
    </row>
    <row r="180" spans="1:15">
      <c r="A180" s="227"/>
      <c r="B180" s="228"/>
      <c r="C180" s="228"/>
      <c r="D180" s="289"/>
      <c r="E180" s="157"/>
      <c r="F180" s="157"/>
      <c r="G180" s="157"/>
      <c r="H180" s="156"/>
      <c r="I180" s="157"/>
      <c r="J180" s="157"/>
      <c r="K180" s="298"/>
    </row>
    <row r="181" spans="1:15">
      <c r="A181" s="229" t="s">
        <v>280</v>
      </c>
      <c r="B181" s="230"/>
      <c r="C181" s="230"/>
      <c r="D181" s="283">
        <f>G181+F181-E181</f>
        <v>0</v>
      </c>
      <c r="E181" s="173"/>
      <c r="F181" s="173"/>
      <c r="G181" s="173">
        <f>SUM(H181:J181)-W181</f>
        <v>0</v>
      </c>
      <c r="H181" s="174">
        <v>0</v>
      </c>
      <c r="I181" s="173"/>
      <c r="J181" s="173"/>
      <c r="K181" s="301">
        <v>0</v>
      </c>
    </row>
    <row r="182" spans="1:15">
      <c r="A182" s="211"/>
      <c r="B182" s="212"/>
      <c r="C182" s="212"/>
      <c r="D182" s="282"/>
      <c r="E182" s="157"/>
      <c r="F182" s="157"/>
      <c r="G182" s="157">
        <f>SUM(H182:J182)</f>
        <v>0</v>
      </c>
      <c r="H182" s="156"/>
      <c r="I182" s="157"/>
      <c r="J182" s="157"/>
      <c r="K182" s="298"/>
    </row>
    <row r="183" spans="1:15" ht="13.5" thickBot="1">
      <c r="A183" s="252" t="s">
        <v>91</v>
      </c>
      <c r="B183" s="253"/>
      <c r="C183" s="253"/>
      <c r="D183" s="294">
        <f t="shared" ref="D183:J183" si="28">SUM(D174+D179+D181)</f>
        <v>140261.80689491579</v>
      </c>
      <c r="E183" s="254">
        <f t="shared" si="28"/>
        <v>0</v>
      </c>
      <c r="F183" s="254">
        <f t="shared" si="28"/>
        <v>0</v>
      </c>
      <c r="G183" s="254">
        <f t="shared" si="28"/>
        <v>140261.80689491585</v>
      </c>
      <c r="H183" s="255">
        <f t="shared" si="28"/>
        <v>141488.74689491585</v>
      </c>
      <c r="I183" s="255">
        <f t="shared" si="28"/>
        <v>-591.78</v>
      </c>
      <c r="J183" s="254">
        <f t="shared" si="28"/>
        <v>-635.16</v>
      </c>
      <c r="K183" s="310">
        <f>SUM(K174+K179+K181)</f>
        <v>140262</v>
      </c>
      <c r="L183" s="161"/>
      <c r="O183" s="734" t="s">
        <v>91</v>
      </c>
    </row>
    <row r="184" spans="1:15">
      <c r="A184" s="256"/>
      <c r="B184" s="257"/>
      <c r="C184" s="257"/>
      <c r="D184" s="282"/>
      <c r="E184" s="169"/>
      <c r="F184" s="169"/>
      <c r="G184" s="169"/>
      <c r="H184" s="192"/>
      <c r="I184" s="169"/>
      <c r="J184" s="169"/>
      <c r="K184" s="306"/>
    </row>
    <row r="185" spans="1:15" ht="12.75" customHeight="1">
      <c r="A185" s="218" t="str">
        <f>A1</f>
        <v>VALORES BANISTMO S.A.  y Subsidiarias</v>
      </c>
      <c r="B185" s="219"/>
      <c r="C185" s="219"/>
      <c r="D185" s="277"/>
      <c r="E185" s="200"/>
      <c r="F185" s="200"/>
      <c r="G185" s="200"/>
      <c r="H185" s="222"/>
      <c r="I185" s="193"/>
      <c r="J185" s="193"/>
      <c r="K185" s="296"/>
    </row>
    <row r="186" spans="1:15">
      <c r="A186" s="218" t="s">
        <v>281</v>
      </c>
      <c r="B186" s="219"/>
      <c r="C186" s="219"/>
      <c r="D186" s="277"/>
      <c r="E186" s="200"/>
      <c r="F186" s="200"/>
      <c r="G186" s="258"/>
      <c r="H186" s="222"/>
      <c r="I186" s="193"/>
      <c r="J186" s="193"/>
      <c r="K186" s="296"/>
    </row>
    <row r="187" spans="1:15">
      <c r="A187" s="259">
        <f>A3</f>
        <v>43008</v>
      </c>
      <c r="B187" s="260"/>
      <c r="C187" s="260"/>
      <c r="D187" s="279"/>
      <c r="E187" s="197"/>
      <c r="F187" s="197"/>
      <c r="G187" s="261"/>
      <c r="H187" s="222"/>
      <c r="I187" s="193"/>
      <c r="J187" s="193"/>
      <c r="K187" s="296"/>
    </row>
    <row r="188" spans="1:15" ht="11.25" customHeight="1">
      <c r="A188" s="180"/>
      <c r="B188" s="159"/>
      <c r="C188" s="159"/>
      <c r="D188" s="286"/>
      <c r="E188" s="200" t="s">
        <v>141</v>
      </c>
      <c r="F188" s="201"/>
      <c r="G188" s="202"/>
      <c r="H188" s="1021" t="str">
        <f>+H4</f>
        <v>Valores Banistmo, S.A. y Subsidiarias</v>
      </c>
      <c r="I188" s="203"/>
      <c r="J188" s="1023" t="s">
        <v>832</v>
      </c>
      <c r="K188" s="1035" t="str">
        <f>+K4</f>
        <v>Valores Banistmo, S.A. y Subsidiarias</v>
      </c>
    </row>
    <row r="189" spans="1:15" ht="25.5">
      <c r="A189" s="146"/>
      <c r="B189" s="146" t="str">
        <f>B4</f>
        <v>Notas</v>
      </c>
      <c r="C189" s="146"/>
      <c r="D189" s="287" t="s">
        <v>140</v>
      </c>
      <c r="E189" s="204" t="s">
        <v>143</v>
      </c>
      <c r="F189" s="204" t="s">
        <v>144</v>
      </c>
      <c r="G189" s="204" t="s">
        <v>51</v>
      </c>
      <c r="H189" s="1022"/>
      <c r="I189" s="205" t="str">
        <f>I4</f>
        <v>SUVALOR PANAMA, S.A.</v>
      </c>
      <c r="J189" s="1024"/>
      <c r="K189" s="1036"/>
    </row>
    <row r="190" spans="1:15">
      <c r="A190" s="926"/>
      <c r="B190" s="927"/>
      <c r="C190" s="927"/>
      <c r="D190" s="918"/>
      <c r="E190" s="928"/>
      <c r="F190" s="928"/>
      <c r="G190" s="929"/>
      <c r="H190" s="262"/>
      <c r="I190" s="262"/>
      <c r="J190" s="262"/>
      <c r="K190" s="311"/>
      <c r="L190" s="250"/>
      <c r="M190" s="250"/>
      <c r="N190" s="250"/>
    </row>
    <row r="191" spans="1:15">
      <c r="A191" s="930" t="s">
        <v>282</v>
      </c>
      <c r="B191" s="931"/>
      <c r="C191" s="931"/>
      <c r="D191" s="282">
        <f>+G191+F191-E191</f>
        <v>14874938.644485999</v>
      </c>
      <c r="E191" s="157"/>
      <c r="F191" s="157"/>
      <c r="G191" s="170">
        <f>+H191+J191+I191</f>
        <v>14874938.644485999</v>
      </c>
      <c r="H191" s="157">
        <v>10604311.024486</v>
      </c>
      <c r="I191" s="157">
        <v>-793.84</v>
      </c>
      <c r="J191" s="157">
        <v>4271421.46</v>
      </c>
      <c r="K191" s="298">
        <f>+ROUND(D191,0)</f>
        <v>14874939</v>
      </c>
    </row>
    <row r="192" spans="1:15">
      <c r="A192" s="930" t="s">
        <v>1225</v>
      </c>
      <c r="B192" s="931"/>
      <c r="C192" s="931"/>
      <c r="D192" s="282">
        <f>+G192+F192-E192</f>
        <v>20678474.550000001</v>
      </c>
      <c r="E192" s="157"/>
      <c r="F192" s="157">
        <v>4794446.75</v>
      </c>
      <c r="G192" s="170">
        <f>+H192+J192+I192</f>
        <v>15884027.800000001</v>
      </c>
      <c r="H192" s="157">
        <v>15884027.800000001</v>
      </c>
      <c r="I192" s="157">
        <v>0</v>
      </c>
      <c r="J192" s="157">
        <v>0</v>
      </c>
      <c r="K192" s="298">
        <f>+ROUND(D192,0)</f>
        <v>20678475</v>
      </c>
    </row>
    <row r="193" spans="1:15">
      <c r="A193" s="930" t="s">
        <v>1229</v>
      </c>
      <c r="B193" s="931"/>
      <c r="C193" s="931"/>
      <c r="D193" s="282">
        <f t="shared" ref="D193:D194" si="29">+G193+F193-E193</f>
        <v>-9065233.0500000007</v>
      </c>
      <c r="E193" s="157">
        <v>4794446.75</v>
      </c>
      <c r="F193" s="157">
        <v>635.16</v>
      </c>
      <c r="G193" s="170">
        <f t="shared" ref="G193:G194" si="30">+H193+J193+I193</f>
        <v>-4271421.46</v>
      </c>
      <c r="H193" s="157"/>
      <c r="I193" s="157"/>
      <c r="J193" s="157">
        <v>-4271421.46</v>
      </c>
      <c r="K193" s="300"/>
    </row>
    <row r="194" spans="1:15">
      <c r="A194" s="930" t="s">
        <v>1226</v>
      </c>
      <c r="B194" s="931"/>
      <c r="C194" s="931"/>
      <c r="D194" s="282">
        <f t="shared" si="29"/>
        <v>0</v>
      </c>
      <c r="E194" s="157"/>
      <c r="F194" s="157"/>
      <c r="G194" s="170">
        <f t="shared" si="30"/>
        <v>0</v>
      </c>
      <c r="H194" s="157"/>
      <c r="I194" s="157"/>
      <c r="J194" s="157"/>
      <c r="K194" s="300"/>
    </row>
    <row r="195" spans="1:15">
      <c r="A195" s="932" t="s">
        <v>91</v>
      </c>
      <c r="B195" s="228"/>
      <c r="C195" s="228"/>
      <c r="D195" s="282">
        <f>G195+F195-E195</f>
        <v>140261.80689491585</v>
      </c>
      <c r="E195" s="157"/>
      <c r="F195" s="157">
        <f>F183</f>
        <v>0</v>
      </c>
      <c r="G195" s="170">
        <f>+H195+J195+I195</f>
        <v>140261.80689491585</v>
      </c>
      <c r="H195" s="157">
        <f>H183</f>
        <v>141488.74689491585</v>
      </c>
      <c r="I195" s="157">
        <f>I183</f>
        <v>-591.78</v>
      </c>
      <c r="J195" s="157">
        <f>J183</f>
        <v>-635.16</v>
      </c>
      <c r="K195" s="300">
        <f>+ROUND(D195,0)</f>
        <v>140262</v>
      </c>
    </row>
    <row r="196" spans="1:15" s="264" customFormat="1">
      <c r="A196" s="933"/>
      <c r="B196" s="230"/>
      <c r="C196" s="230"/>
      <c r="D196" s="283">
        <f>G196+F196-E196</f>
        <v>0</v>
      </c>
      <c r="E196" s="173"/>
      <c r="F196" s="173"/>
      <c r="G196" s="184">
        <f>+H196+J196</f>
        <v>0</v>
      </c>
      <c r="H196" s="173"/>
      <c r="I196" s="173"/>
      <c r="J196" s="173"/>
      <c r="K196" s="301"/>
      <c r="O196" s="736"/>
    </row>
    <row r="197" spans="1:15">
      <c r="A197" s="226" t="s">
        <v>283</v>
      </c>
      <c r="B197" s="219"/>
      <c r="C197" s="219"/>
      <c r="D197" s="282">
        <f>SUM(D191:D196)</f>
        <v>26628441.951380916</v>
      </c>
      <c r="E197" s="169">
        <f>SUM(E191:E196)</f>
        <v>4794446.75</v>
      </c>
      <c r="F197" s="169">
        <f>SUM(F192:F195)</f>
        <v>4795081.91</v>
      </c>
      <c r="G197" s="169">
        <f>SUM(G191:G196)</f>
        <v>26627806.791380916</v>
      </c>
      <c r="H197" s="192">
        <f>SUM(H191:H195)</f>
        <v>26629827.571380917</v>
      </c>
      <c r="I197" s="192">
        <f>SUM(I191:I195)</f>
        <v>-1385.62</v>
      </c>
      <c r="J197" s="169">
        <f>SUM(J191:J195)</f>
        <v>-635.16</v>
      </c>
      <c r="K197" s="306">
        <f>SUM(K191:K195)</f>
        <v>35693676</v>
      </c>
    </row>
    <row r="198" spans="1:15">
      <c r="A198" s="226"/>
      <c r="B198" s="219"/>
      <c r="C198" s="219"/>
      <c r="D198" s="282"/>
      <c r="E198" s="169"/>
      <c r="F198" s="169"/>
      <c r="G198" s="157"/>
      <c r="H198" s="192"/>
      <c r="I198" s="169"/>
      <c r="J198" s="169"/>
      <c r="K198" s="306"/>
    </row>
    <row r="199" spans="1:15">
      <c r="A199" s="211" t="s">
        <v>284</v>
      </c>
      <c r="B199" s="212"/>
      <c r="C199" s="212"/>
      <c r="D199" s="282">
        <f t="shared" ref="D199:D206" si="31">G199+F199-E199</f>
        <v>0</v>
      </c>
      <c r="E199" s="157"/>
      <c r="F199" s="157"/>
      <c r="G199" s="157">
        <f t="shared" ref="G199:G206" si="32">SUM(H199:J199)</f>
        <v>0</v>
      </c>
      <c r="H199" s="156">
        <v>0</v>
      </c>
      <c r="I199" s="157"/>
      <c r="J199" s="157">
        <v>0</v>
      </c>
      <c r="K199" s="298">
        <v>0</v>
      </c>
    </row>
    <row r="200" spans="1:15">
      <c r="A200" s="211" t="s">
        <v>257</v>
      </c>
      <c r="B200" s="212"/>
      <c r="C200" s="212"/>
      <c r="D200" s="282">
        <f t="shared" si="31"/>
        <v>0</v>
      </c>
      <c r="E200" s="157"/>
      <c r="F200" s="157"/>
      <c r="G200" s="157">
        <f t="shared" si="32"/>
        <v>0</v>
      </c>
      <c r="H200" s="156">
        <v>0</v>
      </c>
      <c r="I200" s="157"/>
      <c r="J200" s="157">
        <v>0</v>
      </c>
      <c r="K200" s="298">
        <v>0</v>
      </c>
    </row>
    <row r="201" spans="1:15">
      <c r="A201" s="263" t="s">
        <v>285</v>
      </c>
      <c r="B201" s="212"/>
      <c r="C201" s="212"/>
      <c r="D201" s="282">
        <f t="shared" si="31"/>
        <v>0</v>
      </c>
      <c r="E201" s="157"/>
      <c r="F201" s="157"/>
      <c r="G201" s="157">
        <f t="shared" si="32"/>
        <v>0</v>
      </c>
      <c r="H201" s="156">
        <v>0</v>
      </c>
      <c r="I201" s="157"/>
      <c r="J201" s="157">
        <v>0</v>
      </c>
      <c r="K201" s="298">
        <v>0</v>
      </c>
    </row>
    <row r="202" spans="1:15">
      <c r="A202" s="211" t="s">
        <v>286</v>
      </c>
      <c r="B202" s="212"/>
      <c r="C202" s="212"/>
      <c r="D202" s="282">
        <f t="shared" si="31"/>
        <v>0</v>
      </c>
      <c r="E202" s="157"/>
      <c r="F202" s="157"/>
      <c r="G202" s="157">
        <f t="shared" si="32"/>
        <v>0</v>
      </c>
      <c r="H202" s="156">
        <v>0</v>
      </c>
      <c r="I202" s="157"/>
      <c r="J202" s="157">
        <v>0</v>
      </c>
      <c r="K202" s="298">
        <v>0</v>
      </c>
    </row>
    <row r="203" spans="1:15">
      <c r="A203" s="211" t="s">
        <v>287</v>
      </c>
      <c r="B203" s="212"/>
      <c r="C203" s="212"/>
      <c r="D203" s="282">
        <f t="shared" si="31"/>
        <v>0</v>
      </c>
      <c r="E203" s="157"/>
      <c r="F203" s="157"/>
      <c r="G203" s="157">
        <f t="shared" si="32"/>
        <v>0</v>
      </c>
      <c r="H203" s="156">
        <v>0</v>
      </c>
      <c r="I203" s="157"/>
      <c r="J203" s="157">
        <v>0</v>
      </c>
      <c r="K203" s="298">
        <v>0</v>
      </c>
    </row>
    <row r="204" spans="1:15">
      <c r="A204" s="211" t="s">
        <v>88</v>
      </c>
      <c r="B204" s="212"/>
      <c r="C204" s="212"/>
      <c r="D204" s="282">
        <f t="shared" si="31"/>
        <v>0</v>
      </c>
      <c r="E204" s="157"/>
      <c r="F204" s="155"/>
      <c r="G204" s="157">
        <f t="shared" si="32"/>
        <v>0</v>
      </c>
      <c r="H204" s="156">
        <v>0</v>
      </c>
      <c r="I204" s="157"/>
      <c r="J204" s="157">
        <v>0</v>
      </c>
      <c r="K204" s="298">
        <v>0</v>
      </c>
    </row>
    <row r="205" spans="1:15">
      <c r="A205" s="165" t="s">
        <v>288</v>
      </c>
      <c r="B205" s="212"/>
      <c r="C205" s="212"/>
      <c r="D205" s="282"/>
      <c r="E205" s="157"/>
      <c r="F205" s="155"/>
      <c r="G205" s="157">
        <f t="shared" si="32"/>
        <v>0</v>
      </c>
      <c r="H205" s="156">
        <v>0</v>
      </c>
      <c r="I205" s="157"/>
      <c r="J205" s="157">
        <v>0</v>
      </c>
      <c r="K205" s="298">
        <v>0</v>
      </c>
    </row>
    <row r="206" spans="1:15">
      <c r="A206" s="229" t="s">
        <v>289</v>
      </c>
      <c r="B206" s="230"/>
      <c r="C206" s="230"/>
      <c r="D206" s="283">
        <f t="shared" si="31"/>
        <v>0</v>
      </c>
      <c r="E206" s="173"/>
      <c r="F206" s="173"/>
      <c r="G206" s="173">
        <f t="shared" si="32"/>
        <v>0</v>
      </c>
      <c r="H206" s="174">
        <v>0</v>
      </c>
      <c r="I206" s="173"/>
      <c r="J206" s="173">
        <v>0</v>
      </c>
      <c r="K206" s="301">
        <v>0</v>
      </c>
    </row>
    <row r="207" spans="1:15" ht="13.5" thickBot="1">
      <c r="A207" s="265" t="s">
        <v>290</v>
      </c>
      <c r="B207" s="266"/>
      <c r="C207" s="266"/>
      <c r="D207" s="294">
        <f t="shared" ref="D207:J207" si="33">SUM(D197:D206)</f>
        <v>26628441.951380916</v>
      </c>
      <c r="E207" s="254">
        <f t="shared" si="33"/>
        <v>4794446.75</v>
      </c>
      <c r="F207" s="254">
        <f t="shared" si="33"/>
        <v>4795081.91</v>
      </c>
      <c r="G207" s="254">
        <f t="shared" si="33"/>
        <v>26627806.791380916</v>
      </c>
      <c r="H207" s="255">
        <f t="shared" si="33"/>
        <v>26629827.571380917</v>
      </c>
      <c r="I207" s="255">
        <f t="shared" si="33"/>
        <v>-1385.62</v>
      </c>
      <c r="J207" s="254">
        <f t="shared" si="33"/>
        <v>-635.16</v>
      </c>
      <c r="K207" s="310">
        <f>SUM(K197:K206)</f>
        <v>35693676</v>
      </c>
    </row>
    <row r="208" spans="1:15">
      <c r="A208" s="131"/>
      <c r="B208" s="267"/>
      <c r="C208" s="268"/>
      <c r="E208" s="270"/>
      <c r="F208" s="270"/>
      <c r="G208" s="271"/>
      <c r="H208" s="269"/>
      <c r="I208" s="269"/>
      <c r="J208" s="272"/>
    </row>
    <row r="209" spans="1:10">
      <c r="E209" s="270"/>
      <c r="F209" s="270"/>
      <c r="G209" s="274"/>
      <c r="H209" s="274"/>
      <c r="I209" s="274"/>
      <c r="J209" s="275"/>
    </row>
    <row r="210" spans="1:10">
      <c r="C210" s="3"/>
      <c r="E210" s="270"/>
      <c r="F210" s="270"/>
      <c r="G210" s="274"/>
      <c r="H210" s="274"/>
      <c r="I210" s="274"/>
      <c r="J210" s="275"/>
    </row>
    <row r="211" spans="1:10">
      <c r="A211" s="734" t="s">
        <v>831</v>
      </c>
      <c r="C211" s="3"/>
      <c r="E211" s="270"/>
      <c r="F211" s="270"/>
      <c r="G211" s="274"/>
      <c r="H211" s="274"/>
      <c r="I211" s="274"/>
      <c r="J211" s="275"/>
    </row>
  </sheetData>
  <mergeCells count="16">
    <mergeCell ref="J4:J5"/>
    <mergeCell ref="K4:K5"/>
    <mergeCell ref="K62:K63"/>
    <mergeCell ref="K124:K125"/>
    <mergeCell ref="K188:K189"/>
    <mergeCell ref="A4:A5"/>
    <mergeCell ref="B4:B5"/>
    <mergeCell ref="D4:D5"/>
    <mergeCell ref="H4:H5"/>
    <mergeCell ref="I4:I5"/>
    <mergeCell ref="H62:H63"/>
    <mergeCell ref="J62:J63"/>
    <mergeCell ref="H124:H125"/>
    <mergeCell ref="J124:J125"/>
    <mergeCell ref="H188:H189"/>
    <mergeCell ref="J188:J189"/>
  </mergeCells>
  <pageMargins left="0.70866141732283472" right="0.70866141732283472" top="0.74803149606299213" bottom="0.74803149606299213" header="0.31496062992125984" footer="0.31496062992125984"/>
  <pageSetup scale="59" orientation="landscape" r:id="rId1"/>
  <rowBreaks count="3" manualBreakCount="3">
    <brk id="59" max="9" man="1"/>
    <brk id="120" max="9" man="1"/>
    <brk id="184" max="9" man="1"/>
  </rowBreaks>
  <colBreaks count="1" manualBreakCount="1">
    <brk id="10" max="20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J67"/>
  <sheetViews>
    <sheetView view="pageBreakPreview" topLeftCell="A37" zoomScaleNormal="75" zoomScaleSheetLayoutView="100" workbookViewId="0">
      <selection activeCell="E16" sqref="E16"/>
    </sheetView>
  </sheetViews>
  <sheetFormatPr baseColWidth="10" defaultColWidth="11.42578125" defaultRowHeight="12.75"/>
  <cols>
    <col min="1" max="1" width="37.140625" style="324" customWidth="1"/>
    <col min="2" max="2" width="37" style="324" bestFit="1" customWidth="1"/>
    <col min="3" max="3" width="16.85546875" style="323" customWidth="1"/>
    <col min="4" max="4" width="8" style="324" customWidth="1"/>
    <col min="5" max="5" width="13.7109375" style="324" bestFit="1" customWidth="1"/>
    <col min="6" max="7" width="8" style="324" customWidth="1"/>
    <col min="8" max="8" width="5.140625" style="324" bestFit="1" customWidth="1"/>
    <col min="9" max="9" width="34" style="324" bestFit="1" customWidth="1"/>
    <col min="10" max="10" width="12.85546875" style="324" bestFit="1" customWidth="1"/>
    <col min="11" max="16384" width="11.42578125" style="324"/>
  </cols>
  <sheetData>
    <row r="1" spans="1:10">
      <c r="A1" s="322" t="s">
        <v>350</v>
      </c>
      <c r="B1" s="322"/>
    </row>
    <row r="2" spans="1:10">
      <c r="A2" s="322" t="s">
        <v>291</v>
      </c>
      <c r="B2" s="322"/>
      <c r="C2" s="325"/>
    </row>
    <row r="3" spans="1:10">
      <c r="A3" s="326" t="s">
        <v>292</v>
      </c>
      <c r="B3" s="326"/>
    </row>
    <row r="4" spans="1:10">
      <c r="A4" s="327">
        <v>43190</v>
      </c>
      <c r="B4" s="327"/>
    </row>
    <row r="5" spans="1:10">
      <c r="A5" s="326"/>
      <c r="B5" s="326"/>
    </row>
    <row r="6" spans="1:10" s="330" customFormat="1">
      <c r="A6" s="328" t="s">
        <v>293</v>
      </c>
      <c r="B6" s="328" t="s">
        <v>294</v>
      </c>
      <c r="C6" s="329">
        <v>43190</v>
      </c>
    </row>
    <row r="7" spans="1:10">
      <c r="A7" s="331" t="s">
        <v>295</v>
      </c>
      <c r="B7" s="332"/>
      <c r="C7" s="333"/>
      <c r="I7" s="378" t="s">
        <v>297</v>
      </c>
      <c r="J7" s="503">
        <v>18959.240000000002</v>
      </c>
    </row>
    <row r="8" spans="1:10">
      <c r="A8" s="334" t="s">
        <v>296</v>
      </c>
      <c r="B8" s="334" t="s">
        <v>297</v>
      </c>
      <c r="C8" s="333">
        <f t="shared" ref="C8:C17" si="0">VLOOKUP(B8,I:J,2,FALSE)</f>
        <v>18959.240000000002</v>
      </c>
      <c r="D8" s="324" t="s">
        <v>18</v>
      </c>
      <c r="I8" s="378" t="s">
        <v>299</v>
      </c>
      <c r="J8" s="503">
        <v>0</v>
      </c>
    </row>
    <row r="9" spans="1:10">
      <c r="A9" s="334" t="s">
        <v>298</v>
      </c>
      <c r="B9" s="334" t="s">
        <v>299</v>
      </c>
      <c r="C9" s="333">
        <f t="shared" si="0"/>
        <v>0</v>
      </c>
      <c r="D9" s="324" t="s">
        <v>216</v>
      </c>
      <c r="E9" s="335"/>
      <c r="F9" s="336"/>
      <c r="G9" s="337"/>
      <c r="H9" s="338"/>
      <c r="I9" s="378" t="s">
        <v>783</v>
      </c>
      <c r="J9" s="503">
        <v>9224.26</v>
      </c>
    </row>
    <row r="10" spans="1:10">
      <c r="A10" s="334" t="s">
        <v>790</v>
      </c>
      <c r="B10" s="334" t="s">
        <v>783</v>
      </c>
      <c r="C10" s="333">
        <f t="shared" si="0"/>
        <v>9224.26</v>
      </c>
      <c r="D10" s="324" t="s">
        <v>216</v>
      </c>
      <c r="E10" s="335"/>
      <c r="F10" s="336"/>
      <c r="G10" s="337"/>
      <c r="H10" s="338"/>
      <c r="I10" s="378" t="s">
        <v>525</v>
      </c>
      <c r="J10" s="503">
        <v>0</v>
      </c>
    </row>
    <row r="11" spans="1:10">
      <c r="A11" s="334" t="s">
        <v>300</v>
      </c>
      <c r="B11" s="334" t="s">
        <v>301</v>
      </c>
      <c r="C11" s="333">
        <f t="shared" si="0"/>
        <v>24999.99</v>
      </c>
      <c r="D11" s="324" t="s">
        <v>216</v>
      </c>
      <c r="I11" s="379" t="s">
        <v>301</v>
      </c>
      <c r="J11" s="503">
        <v>24999.99</v>
      </c>
    </row>
    <row r="12" spans="1:10">
      <c r="A12" s="334" t="s">
        <v>302</v>
      </c>
      <c r="B12" s="334" t="s">
        <v>303</v>
      </c>
      <c r="C12" s="333">
        <f t="shared" si="0"/>
        <v>0</v>
      </c>
      <c r="D12" s="324" t="s">
        <v>216</v>
      </c>
      <c r="I12" s="379" t="s">
        <v>303</v>
      </c>
      <c r="J12" s="503">
        <v>0</v>
      </c>
    </row>
    <row r="13" spans="1:10">
      <c r="A13" s="334" t="s">
        <v>304</v>
      </c>
      <c r="B13" s="334" t="s">
        <v>305</v>
      </c>
      <c r="C13" s="333">
        <f t="shared" si="0"/>
        <v>100359.933292</v>
      </c>
      <c r="D13" s="324" t="s">
        <v>18</v>
      </c>
      <c r="I13" s="380" t="s">
        <v>305</v>
      </c>
      <c r="J13" s="503">
        <v>100359.933292</v>
      </c>
    </row>
    <row r="14" spans="1:10">
      <c r="A14" s="334" t="s">
        <v>300</v>
      </c>
      <c r="B14" s="334" t="s">
        <v>306</v>
      </c>
      <c r="C14" s="333">
        <f t="shared" si="0"/>
        <v>16850.64</v>
      </c>
      <c r="D14" s="324" t="s">
        <v>216</v>
      </c>
      <c r="I14" s="381" t="s">
        <v>526</v>
      </c>
      <c r="J14" s="503">
        <v>0</v>
      </c>
    </row>
    <row r="15" spans="1:10">
      <c r="A15" s="334" t="s">
        <v>307</v>
      </c>
      <c r="B15" s="334" t="s">
        <v>308</v>
      </c>
      <c r="C15" s="333">
        <f t="shared" si="0"/>
        <v>9937316.5500000007</v>
      </c>
      <c r="D15" s="324" t="s">
        <v>216</v>
      </c>
      <c r="I15" s="377" t="s">
        <v>527</v>
      </c>
      <c r="J15" s="503">
        <v>0</v>
      </c>
    </row>
    <row r="16" spans="1:10">
      <c r="A16" s="334" t="s">
        <v>529</v>
      </c>
      <c r="B16" s="334" t="s">
        <v>526</v>
      </c>
      <c r="C16" s="333">
        <f t="shared" si="0"/>
        <v>0</v>
      </c>
      <c r="D16" s="324" t="s">
        <v>216</v>
      </c>
      <c r="I16" s="371" t="s">
        <v>306</v>
      </c>
      <c r="J16" s="503">
        <v>16850.64</v>
      </c>
    </row>
    <row r="17" spans="1:10">
      <c r="A17" s="656" t="s">
        <v>678</v>
      </c>
      <c r="B17" s="656" t="s">
        <v>674</v>
      </c>
      <c r="C17" s="333">
        <f t="shared" si="0"/>
        <v>16704</v>
      </c>
      <c r="D17" s="324" t="s">
        <v>216</v>
      </c>
      <c r="I17" s="371" t="s">
        <v>308</v>
      </c>
      <c r="J17" s="503">
        <v>9937316.5500000007</v>
      </c>
    </row>
    <row r="18" spans="1:10">
      <c r="A18" s="334"/>
      <c r="B18" s="334"/>
      <c r="C18" s="333"/>
      <c r="I18" s="371" t="s">
        <v>674</v>
      </c>
      <c r="J18" s="503">
        <v>16704</v>
      </c>
    </row>
    <row r="19" spans="1:10">
      <c r="A19" s="339" t="s">
        <v>309</v>
      </c>
      <c r="B19" s="334"/>
      <c r="C19" s="333"/>
      <c r="I19" s="371"/>
      <c r="J19" s="503"/>
    </row>
    <row r="20" spans="1:10">
      <c r="A20" s="334" t="s">
        <v>310</v>
      </c>
      <c r="B20" s="334" t="s">
        <v>311</v>
      </c>
      <c r="C20" s="333">
        <f>VLOOKUP(B20,I:J,2,FALSE)</f>
        <v>0</v>
      </c>
      <c r="D20" s="324" t="s">
        <v>216</v>
      </c>
      <c r="I20" s="371"/>
      <c r="J20" s="503"/>
    </row>
    <row r="21" spans="1:10">
      <c r="A21" s="334" t="s">
        <v>312</v>
      </c>
      <c r="B21" s="334" t="s">
        <v>313</v>
      </c>
      <c r="C21" s="333">
        <f>VLOOKUP(B21,I:J,2,FALSE)</f>
        <v>8195.1299999999992</v>
      </c>
      <c r="D21" s="324" t="s">
        <v>216</v>
      </c>
      <c r="I21" s="371" t="s">
        <v>311</v>
      </c>
      <c r="J21" s="503">
        <v>0</v>
      </c>
    </row>
    <row r="22" spans="1:10">
      <c r="A22" s="334"/>
      <c r="B22" s="334"/>
      <c r="C22" s="333"/>
      <c r="I22" s="371" t="s">
        <v>313</v>
      </c>
      <c r="J22" s="503">
        <v>8195.1299999999992</v>
      </c>
    </row>
    <row r="23" spans="1:10">
      <c r="A23" s="339" t="s">
        <v>314</v>
      </c>
      <c r="B23" s="334"/>
      <c r="C23" s="333"/>
      <c r="I23" s="379" t="s">
        <v>528</v>
      </c>
      <c r="J23" s="503">
        <v>0</v>
      </c>
    </row>
    <row r="24" spans="1:10">
      <c r="A24" s="334" t="s">
        <v>315</v>
      </c>
      <c r="B24" s="334" t="s">
        <v>316</v>
      </c>
      <c r="C24" s="333">
        <f t="shared" ref="C24:C30" si="1">VLOOKUP(B24,I:J,2,FALSE)</f>
        <v>2963.27</v>
      </c>
      <c r="D24" s="324" t="s">
        <v>216</v>
      </c>
      <c r="I24" s="379"/>
      <c r="J24" s="503"/>
    </row>
    <row r="25" spans="1:10">
      <c r="A25" s="334" t="s">
        <v>317</v>
      </c>
      <c r="B25" s="334" t="s">
        <v>318</v>
      </c>
      <c r="C25" s="333">
        <f t="shared" si="1"/>
        <v>4439.8900000000003</v>
      </c>
      <c r="D25" s="324" t="s">
        <v>216</v>
      </c>
      <c r="I25" s="377"/>
      <c r="J25" s="503"/>
    </row>
    <row r="26" spans="1:10">
      <c r="A26" s="334" t="s">
        <v>319</v>
      </c>
      <c r="B26" s="334" t="s">
        <v>320</v>
      </c>
      <c r="C26" s="333">
        <f t="shared" si="1"/>
        <v>91207.62</v>
      </c>
      <c r="D26" s="324" t="s">
        <v>216</v>
      </c>
      <c r="I26" s="371" t="s">
        <v>316</v>
      </c>
      <c r="J26" s="503">
        <v>2963.27</v>
      </c>
    </row>
    <row r="27" spans="1:10">
      <c r="A27" s="334" t="s">
        <v>321</v>
      </c>
      <c r="B27" s="334" t="s">
        <v>322</v>
      </c>
      <c r="C27" s="333">
        <f t="shared" si="1"/>
        <v>0</v>
      </c>
      <c r="D27" s="324" t="s">
        <v>216</v>
      </c>
      <c r="I27" s="371" t="s">
        <v>318</v>
      </c>
      <c r="J27" s="503">
        <v>4439.8900000000003</v>
      </c>
    </row>
    <row r="28" spans="1:10">
      <c r="A28" s="334" t="s">
        <v>323</v>
      </c>
      <c r="B28" s="334" t="s">
        <v>324</v>
      </c>
      <c r="C28" s="333">
        <f t="shared" si="1"/>
        <v>2658.74</v>
      </c>
      <c r="D28" s="324" t="s">
        <v>216</v>
      </c>
      <c r="I28" s="371" t="s">
        <v>320</v>
      </c>
      <c r="J28" s="503">
        <v>91207.62</v>
      </c>
    </row>
    <row r="29" spans="1:10">
      <c r="A29" s="334" t="s">
        <v>325</v>
      </c>
      <c r="B29" s="334" t="s">
        <v>326</v>
      </c>
      <c r="C29" s="333">
        <f t="shared" si="1"/>
        <v>0</v>
      </c>
      <c r="D29" s="324" t="s">
        <v>216</v>
      </c>
      <c r="I29" s="371" t="s">
        <v>322</v>
      </c>
      <c r="J29" s="503">
        <v>0</v>
      </c>
    </row>
    <row r="30" spans="1:10">
      <c r="A30" s="334" t="s">
        <v>679</v>
      </c>
      <c r="B30" s="334" t="s">
        <v>675</v>
      </c>
      <c r="C30" s="333">
        <f t="shared" si="1"/>
        <v>0</v>
      </c>
      <c r="I30" s="371" t="s">
        <v>324</v>
      </c>
      <c r="J30" s="503">
        <v>2658.74</v>
      </c>
    </row>
    <row r="31" spans="1:10">
      <c r="A31" s="334"/>
      <c r="B31" s="334"/>
      <c r="C31" s="333"/>
      <c r="I31" s="371" t="s">
        <v>326</v>
      </c>
      <c r="J31" s="503">
        <v>0</v>
      </c>
    </row>
    <row r="32" spans="1:10">
      <c r="A32" s="339" t="s">
        <v>327</v>
      </c>
      <c r="B32" s="334"/>
      <c r="C32" s="333"/>
      <c r="I32" s="371" t="s">
        <v>675</v>
      </c>
      <c r="J32" s="503">
        <v>0</v>
      </c>
    </row>
    <row r="33" spans="1:10">
      <c r="A33" s="334" t="s">
        <v>328</v>
      </c>
      <c r="B33" s="334" t="s">
        <v>329</v>
      </c>
      <c r="C33" s="333">
        <f t="shared" ref="C33:C39" si="2">VLOOKUP(B33,I:J,2,FALSE)</f>
        <v>81777.2</v>
      </c>
      <c r="D33" s="324" t="s">
        <v>216</v>
      </c>
      <c r="I33" s="377"/>
      <c r="J33" s="503"/>
    </row>
    <row r="34" spans="1:10">
      <c r="A34" s="334" t="s">
        <v>330</v>
      </c>
      <c r="B34" s="334" t="s">
        <v>331</v>
      </c>
      <c r="C34" s="333">
        <f t="shared" si="2"/>
        <v>0</v>
      </c>
      <c r="D34" s="324" t="s">
        <v>216</v>
      </c>
      <c r="I34" s="371"/>
      <c r="J34" s="503"/>
    </row>
    <row r="35" spans="1:10">
      <c r="A35" s="334" t="s">
        <v>332</v>
      </c>
      <c r="B35" s="334" t="s">
        <v>333</v>
      </c>
      <c r="C35" s="333">
        <f t="shared" si="2"/>
        <v>1070.1300000000001</v>
      </c>
      <c r="D35" s="324" t="s">
        <v>216</v>
      </c>
      <c r="I35" s="379" t="s">
        <v>329</v>
      </c>
      <c r="J35" s="503">
        <v>81777.2</v>
      </c>
    </row>
    <row r="36" spans="1:10">
      <c r="A36" s="334" t="s">
        <v>334</v>
      </c>
      <c r="B36" s="334" t="s">
        <v>335</v>
      </c>
      <c r="C36" s="333">
        <f t="shared" si="2"/>
        <v>10820.34</v>
      </c>
      <c r="D36" s="324" t="s">
        <v>216</v>
      </c>
      <c r="I36" s="371" t="s">
        <v>331</v>
      </c>
      <c r="J36" s="503">
        <v>0</v>
      </c>
    </row>
    <row r="37" spans="1:10">
      <c r="A37" s="334" t="s">
        <v>787</v>
      </c>
      <c r="B37" s="334" t="s">
        <v>784</v>
      </c>
      <c r="C37" s="333">
        <f t="shared" si="2"/>
        <v>1078.03</v>
      </c>
      <c r="D37" s="324" t="s">
        <v>216</v>
      </c>
      <c r="I37" s="371" t="s">
        <v>333</v>
      </c>
      <c r="J37" s="503">
        <v>1070.1300000000001</v>
      </c>
    </row>
    <row r="38" spans="1:10">
      <c r="A38" s="334" t="s">
        <v>788</v>
      </c>
      <c r="B38" s="334" t="s">
        <v>785</v>
      </c>
      <c r="C38" s="333">
        <f t="shared" si="2"/>
        <v>1284.1099999999999</v>
      </c>
      <c r="D38" s="324" t="s">
        <v>216</v>
      </c>
      <c r="I38" s="371" t="s">
        <v>335</v>
      </c>
      <c r="J38" s="503">
        <v>10820.34</v>
      </c>
    </row>
    <row r="39" spans="1:10">
      <c r="A39" s="334" t="s">
        <v>789</v>
      </c>
      <c r="B39" s="334" t="s">
        <v>786</v>
      </c>
      <c r="C39" s="333">
        <f t="shared" si="2"/>
        <v>13616.32</v>
      </c>
      <c r="D39" s="324" t="s">
        <v>216</v>
      </c>
      <c r="I39" s="371" t="s">
        <v>784</v>
      </c>
      <c r="J39" s="503">
        <v>1078.03</v>
      </c>
    </row>
    <row r="40" spans="1:10">
      <c r="A40" s="334"/>
      <c r="B40" s="334"/>
      <c r="C40" s="333"/>
      <c r="I40" s="371" t="s">
        <v>785</v>
      </c>
      <c r="J40" s="503">
        <v>1284.1099999999999</v>
      </c>
    </row>
    <row r="41" spans="1:10">
      <c r="A41" s="339" t="s">
        <v>336</v>
      </c>
      <c r="B41" s="334"/>
      <c r="C41" s="333"/>
      <c r="I41" s="383" t="s">
        <v>786</v>
      </c>
      <c r="J41" s="503">
        <v>13616.32</v>
      </c>
    </row>
    <row r="42" spans="1:10">
      <c r="A42" s="334" t="s">
        <v>337</v>
      </c>
      <c r="B42" s="334" t="s">
        <v>338</v>
      </c>
      <c r="C42" s="333">
        <f>VLOOKUP(B42,I:J,2,FALSE)</f>
        <v>1959984.38</v>
      </c>
      <c r="D42" s="324" t="s">
        <v>216</v>
      </c>
      <c r="I42" s="379"/>
      <c r="J42" s="503"/>
    </row>
    <row r="43" spans="1:10">
      <c r="A43" s="334"/>
      <c r="B43" s="334"/>
      <c r="C43" s="333" t="s">
        <v>539</v>
      </c>
      <c r="I43" s="383"/>
      <c r="J43" s="503"/>
    </row>
    <row r="44" spans="1:10">
      <c r="A44" s="339" t="s">
        <v>339</v>
      </c>
      <c r="B44" s="334"/>
      <c r="C44" s="333"/>
      <c r="I44" s="383" t="s">
        <v>338</v>
      </c>
      <c r="J44" s="503">
        <v>1959984.38</v>
      </c>
    </row>
    <row r="45" spans="1:10">
      <c r="A45" s="334" t="s">
        <v>340</v>
      </c>
      <c r="B45" s="334" t="s">
        <v>341</v>
      </c>
      <c r="C45" s="333">
        <f t="shared" ref="C45:C50" si="3">VLOOKUP(B45,I:J,2,FALSE)</f>
        <v>0</v>
      </c>
      <c r="D45" s="324" t="s">
        <v>216</v>
      </c>
      <c r="I45" s="383"/>
      <c r="J45" s="503"/>
    </row>
    <row r="46" spans="1:10">
      <c r="A46" s="334" t="s">
        <v>342</v>
      </c>
      <c r="B46" s="334" t="s">
        <v>343</v>
      </c>
      <c r="C46" s="333">
        <f t="shared" si="3"/>
        <v>0</v>
      </c>
      <c r="D46" s="324" t="s">
        <v>216</v>
      </c>
      <c r="I46" s="380"/>
      <c r="J46" s="503"/>
    </row>
    <row r="47" spans="1:10">
      <c r="A47" s="334" t="s">
        <v>344</v>
      </c>
      <c r="B47" s="334" t="s">
        <v>345</v>
      </c>
      <c r="C47" s="333">
        <f t="shared" si="3"/>
        <v>0</v>
      </c>
      <c r="D47" s="324" t="s">
        <v>216</v>
      </c>
      <c r="I47" s="382" t="s">
        <v>341</v>
      </c>
      <c r="J47" s="503">
        <v>0</v>
      </c>
    </row>
    <row r="48" spans="1:10">
      <c r="A48" s="334" t="s">
        <v>835</v>
      </c>
      <c r="B48" s="334" t="s">
        <v>834</v>
      </c>
      <c r="C48" s="333">
        <f t="shared" si="3"/>
        <v>102953.96</v>
      </c>
      <c r="I48" s="382" t="s">
        <v>343</v>
      </c>
      <c r="J48" s="503">
        <v>0</v>
      </c>
    </row>
    <row r="49" spans="1:10">
      <c r="A49" s="334" t="s">
        <v>346</v>
      </c>
      <c r="B49" s="334" t="s">
        <v>347</v>
      </c>
      <c r="C49" s="333">
        <f t="shared" si="3"/>
        <v>72314.64</v>
      </c>
      <c r="D49" s="324" t="s">
        <v>216</v>
      </c>
      <c r="I49" s="382" t="s">
        <v>345</v>
      </c>
      <c r="J49" s="503">
        <v>0</v>
      </c>
    </row>
    <row r="50" spans="1:10">
      <c r="A50" s="334" t="s">
        <v>348</v>
      </c>
      <c r="B50" s="334" t="s">
        <v>349</v>
      </c>
      <c r="C50" s="333">
        <f t="shared" si="3"/>
        <v>28913.72</v>
      </c>
      <c r="D50" s="324" t="s">
        <v>216</v>
      </c>
      <c r="I50" s="382" t="s">
        <v>834</v>
      </c>
      <c r="J50" s="503">
        <v>102953.96</v>
      </c>
    </row>
    <row r="51" spans="1:10">
      <c r="A51" s="334"/>
      <c r="B51" s="334"/>
      <c r="C51" s="333"/>
      <c r="I51" s="382" t="s">
        <v>347</v>
      </c>
      <c r="J51" s="503">
        <v>72314.64</v>
      </c>
    </row>
    <row r="52" spans="1:10" ht="13.5" thickBot="1">
      <c r="A52" s="340"/>
      <c r="B52" s="340"/>
      <c r="C52" s="341">
        <f>SUM(C7:C51)</f>
        <v>12507692.093292003</v>
      </c>
      <c r="I52" s="382" t="s">
        <v>349</v>
      </c>
      <c r="J52" s="503">
        <v>28913.72</v>
      </c>
    </row>
    <row r="53" spans="1:10" ht="13.5" thickTop="1">
      <c r="A53" s="326"/>
      <c r="B53" s="326"/>
      <c r="C53" s="342"/>
      <c r="I53" s="382"/>
      <c r="J53" s="503"/>
    </row>
    <row r="54" spans="1:10" s="323" customFormat="1">
      <c r="C54" s="342">
        <f>+C52-C53</f>
        <v>12507692.093292003</v>
      </c>
      <c r="I54" s="382"/>
      <c r="J54" s="290"/>
    </row>
    <row r="55" spans="1:10">
      <c r="C55" s="342"/>
      <c r="I55" s="382"/>
      <c r="J55" s="503"/>
    </row>
    <row r="56" spans="1:10">
      <c r="C56" s="342"/>
      <c r="I56" s="382"/>
    </row>
    <row r="57" spans="1:10">
      <c r="C57" s="155">
        <f>C56-C54</f>
        <v>-12507692.093292003</v>
      </c>
      <c r="I57" s="370"/>
    </row>
    <row r="58" spans="1:10">
      <c r="C58" s="155"/>
      <c r="I58" s="371"/>
    </row>
    <row r="59" spans="1:10">
      <c r="C59" s="342"/>
      <c r="I59" s="371"/>
    </row>
    <row r="60" spans="1:10">
      <c r="C60" s="343"/>
    </row>
    <row r="61" spans="1:10">
      <c r="C61" s="343"/>
    </row>
    <row r="62" spans="1:10">
      <c r="C62" s="343"/>
    </row>
    <row r="63" spans="1:10">
      <c r="C63" s="343"/>
    </row>
    <row r="64" spans="1:10">
      <c r="C64" s="343"/>
    </row>
    <row r="65" spans="3:3">
      <c r="C65" s="343"/>
    </row>
    <row r="66" spans="3:3">
      <c r="C66" s="343"/>
    </row>
    <row r="67" spans="3:3">
      <c r="C67" s="343"/>
    </row>
  </sheetData>
  <sheetProtection formatCells="0" formatColumns="0" formatRows="0" sort="0" autoFilter="0" pivotTables="0"/>
  <printOptions horizontalCentered="1" verticalCentered="1"/>
  <pageMargins left="0.78740157480314965" right="0.78740157480314965" top="0.59055118110236227" bottom="0.59055118110236227" header="0" footer="0"/>
  <pageSetup scale="97" orientation="portrait" r:id="rId1"/>
  <headerFooter scaleWithDoc="0">
    <oddFooter>&amp;Z&amp;F&amp;RPágina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31"/>
  <sheetViews>
    <sheetView topLeftCell="A19" workbookViewId="0">
      <selection activeCell="C22" sqref="C22"/>
    </sheetView>
  </sheetViews>
  <sheetFormatPr baseColWidth="10" defaultColWidth="11.42578125" defaultRowHeight="12.75"/>
  <cols>
    <col min="1" max="1" width="50.42578125" style="366" customWidth="1"/>
    <col min="2" max="2" width="35" style="366" bestFit="1" customWidth="1"/>
    <col min="3" max="3" width="16.7109375" style="367" customWidth="1"/>
    <col min="4" max="16384" width="11.42578125" style="346"/>
  </cols>
  <sheetData>
    <row r="1" spans="1:5">
      <c r="A1" s="344" t="s">
        <v>351</v>
      </c>
      <c r="B1" s="344"/>
      <c r="C1" s="345"/>
      <c r="E1" s="134"/>
    </row>
    <row r="2" spans="1:5">
      <c r="A2" s="347" t="s">
        <v>352</v>
      </c>
      <c r="B2" s="347"/>
      <c r="C2" s="348"/>
      <c r="E2" s="134"/>
    </row>
    <row r="3" spans="1:5">
      <c r="A3" s="349" t="s">
        <v>353</v>
      </c>
      <c r="B3" s="349"/>
      <c r="C3" s="333"/>
      <c r="E3" s="134"/>
    </row>
    <row r="4" spans="1:5">
      <c r="A4" s="350">
        <v>43190</v>
      </c>
      <c r="B4" s="350"/>
      <c r="C4" s="333"/>
      <c r="E4" s="134"/>
    </row>
    <row r="5" spans="1:5">
      <c r="A5" s="349"/>
      <c r="B5" s="349"/>
      <c r="C5" s="333"/>
      <c r="E5" s="134"/>
    </row>
    <row r="6" spans="1:5" s="354" customFormat="1">
      <c r="A6" s="351" t="s">
        <v>354</v>
      </c>
      <c r="B6" s="352" t="s">
        <v>355</v>
      </c>
      <c r="C6" s="353">
        <v>43190</v>
      </c>
      <c r="E6" s="346"/>
    </row>
    <row r="7" spans="1:5" ht="25.5">
      <c r="A7" s="355" t="s">
        <v>356</v>
      </c>
      <c r="B7" s="356"/>
      <c r="C7" s="357"/>
      <c r="E7" s="358"/>
    </row>
    <row r="8" spans="1:5">
      <c r="A8" s="359" t="s">
        <v>357</v>
      </c>
      <c r="B8" s="349" t="s">
        <v>358</v>
      </c>
      <c r="C8" s="333">
        <v>72243.91</v>
      </c>
      <c r="D8" s="346" t="s">
        <v>372</v>
      </c>
      <c r="E8" s="358"/>
    </row>
    <row r="9" spans="1:5">
      <c r="A9" s="359" t="s">
        <v>359</v>
      </c>
      <c r="B9" s="349" t="s">
        <v>360</v>
      </c>
      <c r="C9" s="333">
        <v>74277.62</v>
      </c>
      <c r="D9" s="10" t="s">
        <v>32</v>
      </c>
      <c r="E9" s="358"/>
    </row>
    <row r="10" spans="1:5">
      <c r="A10" s="359" t="s">
        <v>361</v>
      </c>
      <c r="B10" s="349" t="s">
        <v>362</v>
      </c>
      <c r="C10" s="333">
        <v>2846.01</v>
      </c>
      <c r="D10" s="10" t="s">
        <v>32</v>
      </c>
      <c r="E10" s="358"/>
    </row>
    <row r="11" spans="1:5">
      <c r="A11" s="359" t="s">
        <v>676</v>
      </c>
      <c r="B11" s="349" t="s">
        <v>677</v>
      </c>
      <c r="C11" s="333">
        <v>24541.56</v>
      </c>
      <c r="D11" s="10" t="s">
        <v>32</v>
      </c>
      <c r="E11" s="358"/>
    </row>
    <row r="12" spans="1:5">
      <c r="A12" s="355"/>
      <c r="B12" s="356"/>
      <c r="C12" s="357"/>
      <c r="E12" s="358"/>
    </row>
    <row r="13" spans="1:5" ht="38.25">
      <c r="A13" s="355" t="s">
        <v>363</v>
      </c>
      <c r="B13" s="349"/>
      <c r="C13" s="333"/>
      <c r="E13" s="358"/>
    </row>
    <row r="14" spans="1:5">
      <c r="A14" s="359" t="s">
        <v>364</v>
      </c>
      <c r="B14" s="349" t="s">
        <v>365</v>
      </c>
      <c r="C14" s="333">
        <v>0</v>
      </c>
      <c r="D14" s="10" t="s">
        <v>32</v>
      </c>
      <c r="E14" s="358"/>
    </row>
    <row r="15" spans="1:5">
      <c r="A15" s="359" t="s">
        <v>366</v>
      </c>
      <c r="B15" s="349" t="s">
        <v>101</v>
      </c>
      <c r="C15" s="333">
        <v>0</v>
      </c>
      <c r="D15" s="10" t="s">
        <v>32</v>
      </c>
      <c r="E15" s="358"/>
    </row>
    <row r="16" spans="1:5">
      <c r="A16" s="359" t="s">
        <v>367</v>
      </c>
      <c r="B16" s="349" t="s">
        <v>368</v>
      </c>
      <c r="C16" s="333">
        <v>0</v>
      </c>
      <c r="D16" s="10" t="s">
        <v>32</v>
      </c>
      <c r="E16" s="358"/>
    </row>
    <row r="17" spans="1:5">
      <c r="A17" s="355"/>
      <c r="B17" s="349"/>
      <c r="C17" s="333"/>
      <c r="E17" s="358"/>
    </row>
    <row r="18" spans="1:5" ht="38.25">
      <c r="A18" s="355" t="s">
        <v>131</v>
      </c>
      <c r="B18" s="349"/>
      <c r="C18" s="333"/>
      <c r="E18" s="358"/>
    </row>
    <row r="19" spans="1:5">
      <c r="A19" s="359" t="s">
        <v>130</v>
      </c>
      <c r="B19" s="349" t="s">
        <v>129</v>
      </c>
      <c r="C19" s="333">
        <v>-88401.21</v>
      </c>
      <c r="D19" s="10" t="s">
        <v>32</v>
      </c>
      <c r="E19" s="358"/>
    </row>
    <row r="20" spans="1:5">
      <c r="A20" s="355"/>
      <c r="B20" s="349"/>
      <c r="C20" s="333"/>
      <c r="E20" s="358"/>
    </row>
    <row r="21" spans="1:5" ht="25.5">
      <c r="A21" s="355" t="s">
        <v>134</v>
      </c>
      <c r="B21" s="349"/>
      <c r="C21" s="333"/>
      <c r="E21" s="358"/>
    </row>
    <row r="22" spans="1:5">
      <c r="A22" s="359" t="s">
        <v>133</v>
      </c>
      <c r="B22" s="349" t="s">
        <v>132</v>
      </c>
      <c r="C22" s="333">
        <v>23566.11</v>
      </c>
      <c r="D22" s="10" t="s">
        <v>32</v>
      </c>
      <c r="E22" s="358"/>
    </row>
    <row r="23" spans="1:5">
      <c r="A23" s="355"/>
      <c r="B23" s="349"/>
      <c r="C23" s="333"/>
      <c r="E23" s="358"/>
    </row>
    <row r="24" spans="1:5">
      <c r="A24" s="360" t="s">
        <v>369</v>
      </c>
      <c r="B24" s="356"/>
      <c r="C24" s="357"/>
      <c r="E24" s="358"/>
    </row>
    <row r="25" spans="1:5">
      <c r="A25" s="335" t="s">
        <v>370</v>
      </c>
      <c r="B25" s="361" t="s">
        <v>371</v>
      </c>
      <c r="C25" s="333">
        <v>0</v>
      </c>
      <c r="D25" s="10" t="s">
        <v>32</v>
      </c>
      <c r="E25" s="358"/>
    </row>
    <row r="26" spans="1:5">
      <c r="A26" s="349"/>
      <c r="B26" s="349"/>
      <c r="C26" s="333"/>
      <c r="E26" s="358"/>
    </row>
    <row r="27" spans="1:5" ht="13.5" thickBot="1">
      <c r="A27" s="362"/>
      <c r="B27" s="362"/>
      <c r="C27" s="363">
        <f>SUM(C7:C26)</f>
        <v>109074</v>
      </c>
      <c r="E27" s="358"/>
    </row>
    <row r="28" spans="1:5" ht="13.5" thickTop="1">
      <c r="A28" s="349"/>
      <c r="B28" s="349"/>
      <c r="C28" s="333">
        <f>'Estado ganancias o pérdidas'!J21+'Estado ganancias o pérdidas'!J22</f>
        <v>109074</v>
      </c>
      <c r="E28" s="358"/>
    </row>
    <row r="29" spans="1:5">
      <c r="A29" s="364"/>
      <c r="B29" s="364"/>
      <c r="C29" s="365"/>
      <c r="E29" s="358"/>
    </row>
    <row r="30" spans="1:5">
      <c r="A30" s="349"/>
      <c r="B30" s="349"/>
      <c r="C30" s="342">
        <f>+C27-C28</f>
        <v>0</v>
      </c>
      <c r="D30" s="346" t="s">
        <v>680</v>
      </c>
      <c r="E30" s="358"/>
    </row>
    <row r="31" spans="1:5">
      <c r="C31" s="367">
        <f>-C30</f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69"/>
  <sheetViews>
    <sheetView view="pageBreakPreview" topLeftCell="A34" zoomScale="80" zoomScaleNormal="100" zoomScaleSheetLayoutView="80" workbookViewId="0">
      <selection activeCell="G58" sqref="G58"/>
    </sheetView>
  </sheetViews>
  <sheetFormatPr baseColWidth="10" defaultColWidth="11.42578125" defaultRowHeight="12.75"/>
  <cols>
    <col min="1" max="1" width="46.5703125" style="3" bestFit="1" customWidth="1"/>
    <col min="2" max="2" width="35.7109375" style="390" bestFit="1" customWidth="1"/>
    <col min="3" max="3" width="15.28515625" style="390" customWidth="1"/>
    <col min="4" max="5" width="11.42578125" style="3"/>
    <col min="6" max="7" width="28.7109375" style="3" bestFit="1" customWidth="1"/>
    <col min="8" max="16384" width="11.42578125" style="3"/>
  </cols>
  <sheetData>
    <row r="1" spans="1:8">
      <c r="A1" s="368" t="s">
        <v>350</v>
      </c>
      <c r="B1" s="369"/>
      <c r="C1" s="369"/>
    </row>
    <row r="2" spans="1:8" s="371" customFormat="1">
      <c r="A2" s="370" t="s">
        <v>373</v>
      </c>
      <c r="B2" s="370"/>
      <c r="C2" s="370"/>
    </row>
    <row r="3" spans="1:8" s="371" customFormat="1">
      <c r="A3" s="371" t="s">
        <v>374</v>
      </c>
    </row>
    <row r="4" spans="1:8" s="371" customFormat="1">
      <c r="A4" s="372">
        <v>43100</v>
      </c>
      <c r="B4" s="372"/>
    </row>
    <row r="5" spans="1:8" s="375" customFormat="1">
      <c r="A5" s="373" t="s">
        <v>354</v>
      </c>
      <c r="B5" s="373" t="s">
        <v>355</v>
      </c>
      <c r="C5" s="374">
        <v>43100</v>
      </c>
    </row>
    <row r="6" spans="1:8" s="371" customFormat="1">
      <c r="A6" s="376"/>
      <c r="B6" s="376"/>
      <c r="C6" s="191"/>
    </row>
    <row r="7" spans="1:8" s="371" customFormat="1">
      <c r="A7" s="377" t="s">
        <v>375</v>
      </c>
      <c r="B7" s="377"/>
      <c r="C7" s="191"/>
    </row>
    <row r="8" spans="1:8" s="371" customFormat="1">
      <c r="A8" s="371" t="s">
        <v>376</v>
      </c>
      <c r="B8" s="378" t="s">
        <v>377</v>
      </c>
      <c r="C8" s="342">
        <f t="shared" ref="C8:C13" si="0">VLOOKUP(B8,F:G,2,FALSE)</f>
        <v>4439.8900000000003</v>
      </c>
      <c r="D8" s="5" t="s">
        <v>36</v>
      </c>
      <c r="F8" s="371" t="s">
        <v>377</v>
      </c>
      <c r="G8" s="290">
        <v>4439.8900000000003</v>
      </c>
      <c r="H8" s="290"/>
    </row>
    <row r="9" spans="1:8" s="371" customFormat="1">
      <c r="A9" s="371" t="s">
        <v>681</v>
      </c>
      <c r="B9" s="378" t="s">
        <v>673</v>
      </c>
      <c r="C9" s="342">
        <f t="shared" si="0"/>
        <v>0</v>
      </c>
      <c r="D9" s="5" t="s">
        <v>36</v>
      </c>
      <c r="F9" s="371" t="s">
        <v>673</v>
      </c>
      <c r="G9" s="290">
        <v>0</v>
      </c>
      <c r="H9" s="290"/>
    </row>
    <row r="10" spans="1:8" s="371" customFormat="1">
      <c r="A10" s="371" t="s">
        <v>378</v>
      </c>
      <c r="B10" s="378" t="s">
        <v>379</v>
      </c>
      <c r="C10" s="342">
        <f t="shared" si="0"/>
        <v>1723.46</v>
      </c>
      <c r="D10" s="10" t="s">
        <v>43</v>
      </c>
      <c r="F10" s="371" t="s">
        <v>379</v>
      </c>
      <c r="G10" s="290">
        <v>1723.46</v>
      </c>
      <c r="H10" s="290"/>
    </row>
    <row r="11" spans="1:8" s="371" customFormat="1">
      <c r="A11" s="379" t="s">
        <v>380</v>
      </c>
      <c r="B11" s="379" t="s">
        <v>381</v>
      </c>
      <c r="C11" s="342">
        <f t="shared" si="0"/>
        <v>170.5</v>
      </c>
      <c r="D11" s="5" t="s">
        <v>36</v>
      </c>
      <c r="F11" s="371" t="s">
        <v>381</v>
      </c>
      <c r="G11" s="290">
        <v>170.5</v>
      </c>
      <c r="H11" s="290"/>
    </row>
    <row r="12" spans="1:8" s="371" customFormat="1">
      <c r="A12" s="379" t="s">
        <v>382</v>
      </c>
      <c r="B12" s="379" t="s">
        <v>383</v>
      </c>
      <c r="C12" s="342">
        <f t="shared" si="0"/>
        <v>531.75</v>
      </c>
      <c r="D12" s="5" t="s">
        <v>36</v>
      </c>
      <c r="F12" s="371" t="s">
        <v>383</v>
      </c>
      <c r="G12" s="290">
        <v>531.75</v>
      </c>
      <c r="H12" s="290"/>
    </row>
    <row r="13" spans="1:8" s="371" customFormat="1">
      <c r="A13" s="380" t="s">
        <v>384</v>
      </c>
      <c r="B13" s="380" t="s">
        <v>385</v>
      </c>
      <c r="C13" s="342">
        <f t="shared" si="0"/>
        <v>560.75</v>
      </c>
      <c r="D13" s="10" t="s">
        <v>43</v>
      </c>
      <c r="F13" s="371" t="s">
        <v>385</v>
      </c>
      <c r="G13" s="290">
        <v>560.75</v>
      </c>
      <c r="H13" s="290"/>
    </row>
    <row r="14" spans="1:8" s="371" customFormat="1">
      <c r="A14" s="380"/>
      <c r="B14" s="380"/>
      <c r="C14" s="342"/>
      <c r="D14" s="10"/>
      <c r="G14" s="290"/>
      <c r="H14" s="290"/>
    </row>
    <row r="15" spans="1:8" s="371" customFormat="1">
      <c r="A15" s="381"/>
      <c r="B15" s="381"/>
      <c r="C15" s="342"/>
      <c r="G15" s="290"/>
      <c r="H15" s="290"/>
    </row>
    <row r="16" spans="1:8" s="371" customFormat="1">
      <c r="A16" s="377" t="s">
        <v>386</v>
      </c>
      <c r="B16" s="377"/>
      <c r="C16" s="342"/>
      <c r="F16" s="371" t="s">
        <v>388</v>
      </c>
      <c r="G16" s="290">
        <v>15000</v>
      </c>
      <c r="H16" s="290"/>
    </row>
    <row r="17" spans="1:8" s="371" customFormat="1">
      <c r="A17" s="371" t="s">
        <v>387</v>
      </c>
      <c r="B17" s="371" t="s">
        <v>388</v>
      </c>
      <c r="C17" s="342">
        <f t="shared" ref="C17:C24" si="1">VLOOKUP(B17,F:G,2,FALSE)</f>
        <v>15000</v>
      </c>
      <c r="D17" s="10" t="s">
        <v>37</v>
      </c>
      <c r="F17" s="371" t="s">
        <v>390</v>
      </c>
      <c r="G17" s="290">
        <v>600</v>
      </c>
      <c r="H17" s="290"/>
    </row>
    <row r="18" spans="1:8" s="371" customFormat="1">
      <c r="A18" s="371" t="s">
        <v>389</v>
      </c>
      <c r="B18" s="371" t="s">
        <v>390</v>
      </c>
      <c r="C18" s="342">
        <f t="shared" si="1"/>
        <v>600</v>
      </c>
      <c r="D18" s="10" t="s">
        <v>38</v>
      </c>
      <c r="F18" s="371" t="s">
        <v>530</v>
      </c>
      <c r="G18" s="290">
        <v>900</v>
      </c>
      <c r="H18" s="290"/>
    </row>
    <row r="19" spans="1:8" s="371" customFormat="1">
      <c r="A19" s="371" t="s">
        <v>389</v>
      </c>
      <c r="B19" s="371" t="s">
        <v>530</v>
      </c>
      <c r="C19" s="342">
        <f t="shared" si="1"/>
        <v>900</v>
      </c>
      <c r="D19" s="10" t="s">
        <v>38</v>
      </c>
      <c r="F19" s="371" t="s">
        <v>392</v>
      </c>
      <c r="G19" s="290">
        <v>2295</v>
      </c>
      <c r="H19" s="290"/>
    </row>
    <row r="20" spans="1:8" s="371" customFormat="1">
      <c r="A20" s="371" t="s">
        <v>391</v>
      </c>
      <c r="B20" s="371" t="s">
        <v>392</v>
      </c>
      <c r="C20" s="342">
        <f t="shared" si="1"/>
        <v>2295</v>
      </c>
      <c r="D20" s="10" t="s">
        <v>38</v>
      </c>
      <c r="F20" s="371" t="s">
        <v>394</v>
      </c>
      <c r="G20" s="290">
        <v>24999.99</v>
      </c>
      <c r="H20" s="506"/>
    </row>
    <row r="21" spans="1:8" s="371" customFormat="1">
      <c r="A21" s="371" t="s">
        <v>393</v>
      </c>
      <c r="B21" s="371" t="s">
        <v>394</v>
      </c>
      <c r="C21" s="342">
        <f t="shared" si="1"/>
        <v>24999.99</v>
      </c>
      <c r="D21" s="10" t="s">
        <v>38</v>
      </c>
      <c r="F21" s="371" t="s">
        <v>396</v>
      </c>
      <c r="G21" s="290">
        <v>45.06</v>
      </c>
      <c r="H21" s="290"/>
    </row>
    <row r="22" spans="1:8" s="371" customFormat="1">
      <c r="A22" s="371" t="s">
        <v>395</v>
      </c>
      <c r="B22" s="371" t="s">
        <v>396</v>
      </c>
      <c r="C22" s="342">
        <f t="shared" si="1"/>
        <v>45.06</v>
      </c>
      <c r="D22" s="10" t="s">
        <v>38</v>
      </c>
      <c r="F22" s="371" t="s">
        <v>792</v>
      </c>
      <c r="G22" s="290">
        <v>7091.38</v>
      </c>
      <c r="H22" s="290"/>
    </row>
    <row r="23" spans="1:8" s="371" customFormat="1">
      <c r="A23" s="371" t="s">
        <v>791</v>
      </c>
      <c r="B23" s="371" t="s">
        <v>792</v>
      </c>
      <c r="C23" s="342">
        <f t="shared" si="1"/>
        <v>7091.38</v>
      </c>
      <c r="D23" s="10" t="s">
        <v>38</v>
      </c>
      <c r="F23" s="371" t="s">
        <v>398</v>
      </c>
      <c r="G23" s="290">
        <v>10000</v>
      </c>
      <c r="H23" s="290"/>
    </row>
    <row r="24" spans="1:8" s="371" customFormat="1">
      <c r="A24" s="379" t="s">
        <v>397</v>
      </c>
      <c r="B24" s="379" t="s">
        <v>398</v>
      </c>
      <c r="C24" s="342">
        <f t="shared" si="1"/>
        <v>10000</v>
      </c>
      <c r="D24" s="10" t="s">
        <v>38</v>
      </c>
      <c r="G24" s="290"/>
      <c r="H24" s="290"/>
    </row>
    <row r="25" spans="1:8" s="371" customFormat="1">
      <c r="A25" s="379"/>
      <c r="B25" s="379"/>
      <c r="C25" s="342"/>
      <c r="G25" s="290"/>
      <c r="H25" s="290"/>
    </row>
    <row r="26" spans="1:8" s="371" customFormat="1" ht="11.25" customHeight="1">
      <c r="A26" s="377" t="s">
        <v>399</v>
      </c>
      <c r="B26" s="377"/>
      <c r="C26" s="342"/>
      <c r="F26" s="371" t="s">
        <v>401</v>
      </c>
      <c r="G26" s="290">
        <v>0</v>
      </c>
      <c r="H26" s="290"/>
    </row>
    <row r="27" spans="1:8" s="371" customFormat="1">
      <c r="A27" s="371" t="s">
        <v>400</v>
      </c>
      <c r="B27" s="371" t="s">
        <v>401</v>
      </c>
      <c r="C27" s="342">
        <f>VLOOKUP(B27,F:G,2,FALSE)</f>
        <v>0</v>
      </c>
      <c r="D27" s="10" t="s">
        <v>43</v>
      </c>
      <c r="F27" s="371" t="s">
        <v>403</v>
      </c>
      <c r="G27" s="290">
        <v>4060</v>
      </c>
      <c r="H27" s="290"/>
    </row>
    <row r="28" spans="1:8" s="371" customFormat="1">
      <c r="A28" s="371" t="s">
        <v>402</v>
      </c>
      <c r="B28" s="371" t="s">
        <v>403</v>
      </c>
      <c r="C28" s="342">
        <f>VLOOKUP(B28,F:G,2,FALSE)</f>
        <v>4060</v>
      </c>
      <c r="D28" s="10" t="s">
        <v>43</v>
      </c>
      <c r="F28" s="371" t="s">
        <v>405</v>
      </c>
      <c r="G28" s="290">
        <v>0</v>
      </c>
      <c r="H28" s="290"/>
    </row>
    <row r="29" spans="1:8" s="371" customFormat="1">
      <c r="A29" s="371" t="s">
        <v>404</v>
      </c>
      <c r="B29" s="371" t="s">
        <v>405</v>
      </c>
      <c r="C29" s="342">
        <f>VLOOKUP(B29,F:G,2,FALSE)</f>
        <v>0</v>
      </c>
      <c r="D29" s="10" t="s">
        <v>43</v>
      </c>
      <c r="F29" s="371" t="s">
        <v>407</v>
      </c>
      <c r="G29" s="812">
        <v>0</v>
      </c>
      <c r="H29" s="504"/>
    </row>
    <row r="30" spans="1:8" s="371" customFormat="1">
      <c r="A30" s="371" t="s">
        <v>406</v>
      </c>
      <c r="B30" s="371" t="s">
        <v>407</v>
      </c>
      <c r="C30" s="342">
        <f>VLOOKUP(B30,F:G,2,FALSE)</f>
        <v>0</v>
      </c>
      <c r="D30" s="10" t="s">
        <v>43</v>
      </c>
      <c r="F30" s="371" t="s">
        <v>409</v>
      </c>
      <c r="G30" s="812">
        <v>8500</v>
      </c>
      <c r="H30" s="504"/>
    </row>
    <row r="31" spans="1:8" s="371" customFormat="1">
      <c r="A31" s="371" t="s">
        <v>408</v>
      </c>
      <c r="B31" s="371" t="s">
        <v>409</v>
      </c>
      <c r="C31" s="342">
        <f>VLOOKUP(B31,F:G,2,FALSE)</f>
        <v>8500</v>
      </c>
      <c r="D31" s="10" t="s">
        <v>43</v>
      </c>
      <c r="G31" s="505"/>
      <c r="H31" s="504"/>
    </row>
    <row r="32" spans="1:8" s="371" customFormat="1">
      <c r="C32" s="342"/>
      <c r="G32" s="505"/>
      <c r="H32" s="504"/>
    </row>
    <row r="33" spans="1:8" s="371" customFormat="1">
      <c r="A33" s="377" t="s">
        <v>410</v>
      </c>
      <c r="B33" s="377"/>
      <c r="C33" s="342"/>
      <c r="F33" s="371" t="s">
        <v>412</v>
      </c>
      <c r="G33" s="505">
        <v>2794</v>
      </c>
      <c r="H33" s="505"/>
    </row>
    <row r="34" spans="1:8" s="371" customFormat="1">
      <c r="A34" s="371" t="s">
        <v>411</v>
      </c>
      <c r="B34" s="371" t="s">
        <v>412</v>
      </c>
      <c r="C34" s="342">
        <f t="shared" ref="C34:C52" si="2">VLOOKUP(B34,F:G,2,FALSE)</f>
        <v>2794</v>
      </c>
      <c r="D34" s="10" t="s">
        <v>43</v>
      </c>
      <c r="F34" s="371" t="s">
        <v>414</v>
      </c>
      <c r="G34" s="505" t="s">
        <v>9</v>
      </c>
      <c r="H34" s="505"/>
    </row>
    <row r="35" spans="1:8" s="371" customFormat="1">
      <c r="A35" s="379" t="s">
        <v>413</v>
      </c>
      <c r="B35" s="379" t="s">
        <v>414</v>
      </c>
      <c r="C35" s="342" t="str">
        <f t="shared" si="2"/>
        <v>-</v>
      </c>
      <c r="D35" s="10" t="s">
        <v>43</v>
      </c>
      <c r="F35" s="371" t="s">
        <v>415</v>
      </c>
      <c r="G35" s="505">
        <v>683.6</v>
      </c>
      <c r="H35" s="505"/>
    </row>
    <row r="36" spans="1:8" s="371" customFormat="1">
      <c r="A36" s="371" t="s">
        <v>406</v>
      </c>
      <c r="B36" s="371" t="s">
        <v>415</v>
      </c>
      <c r="C36" s="342">
        <f t="shared" si="2"/>
        <v>683.6</v>
      </c>
      <c r="D36" s="10" t="s">
        <v>43</v>
      </c>
      <c r="F36" s="371" t="s">
        <v>417</v>
      </c>
      <c r="G36" s="505">
        <v>119.34</v>
      </c>
      <c r="H36" s="505"/>
    </row>
    <row r="37" spans="1:8" s="371" customFormat="1">
      <c r="A37" s="371" t="s">
        <v>416</v>
      </c>
      <c r="B37" s="371" t="s">
        <v>417</v>
      </c>
      <c r="C37" s="342">
        <f t="shared" si="2"/>
        <v>119.34</v>
      </c>
      <c r="D37" s="10" t="s">
        <v>43</v>
      </c>
      <c r="F37" s="371" t="s">
        <v>419</v>
      </c>
      <c r="G37" s="290">
        <v>0</v>
      </c>
      <c r="H37" s="290"/>
    </row>
    <row r="38" spans="1:8" s="371" customFormat="1">
      <c r="A38" s="383" t="s">
        <v>418</v>
      </c>
      <c r="B38" s="383" t="s">
        <v>419</v>
      </c>
      <c r="C38" s="342">
        <f t="shared" si="2"/>
        <v>0</v>
      </c>
      <c r="D38" s="10" t="s">
        <v>43</v>
      </c>
      <c r="F38" s="371" t="s">
        <v>421</v>
      </c>
      <c r="G38" s="290">
        <v>0</v>
      </c>
      <c r="H38" s="290"/>
    </row>
    <row r="39" spans="1:8" s="371" customFormat="1">
      <c r="A39" s="379" t="s">
        <v>420</v>
      </c>
      <c r="B39" s="379" t="s">
        <v>421</v>
      </c>
      <c r="C39" s="342">
        <f t="shared" si="2"/>
        <v>0</v>
      </c>
      <c r="D39" s="10" t="s">
        <v>43</v>
      </c>
      <c r="F39" s="371" t="s">
        <v>423</v>
      </c>
      <c r="G39" s="290">
        <v>1010.63</v>
      </c>
      <c r="H39" s="290"/>
    </row>
    <row r="40" spans="1:8" s="371" customFormat="1">
      <c r="A40" s="383" t="s">
        <v>422</v>
      </c>
      <c r="B40" s="383" t="s">
        <v>423</v>
      </c>
      <c r="C40" s="342">
        <f t="shared" si="2"/>
        <v>1010.63</v>
      </c>
      <c r="D40" s="10" t="s">
        <v>43</v>
      </c>
      <c r="F40" s="371" t="s">
        <v>425</v>
      </c>
      <c r="G40" s="290">
        <v>0</v>
      </c>
      <c r="H40" s="290"/>
    </row>
    <row r="41" spans="1:8" s="371" customFormat="1">
      <c r="A41" s="383" t="s">
        <v>424</v>
      </c>
      <c r="B41" s="383" t="s">
        <v>425</v>
      </c>
      <c r="C41" s="342">
        <f t="shared" si="2"/>
        <v>0</v>
      </c>
      <c r="D41" s="10" t="s">
        <v>43</v>
      </c>
      <c r="F41" s="371" t="s">
        <v>427</v>
      </c>
      <c r="G41" s="290">
        <v>0</v>
      </c>
      <c r="H41" s="290"/>
    </row>
    <row r="42" spans="1:8" s="371" customFormat="1">
      <c r="A42" s="383" t="s">
        <v>426</v>
      </c>
      <c r="B42" s="383" t="s">
        <v>427</v>
      </c>
      <c r="C42" s="342">
        <f t="shared" si="2"/>
        <v>0</v>
      </c>
      <c r="D42" s="10" t="s">
        <v>43</v>
      </c>
      <c r="F42" s="371" t="s">
        <v>429</v>
      </c>
      <c r="G42" s="290">
        <v>0</v>
      </c>
      <c r="H42" s="290"/>
    </row>
    <row r="43" spans="1:8" s="371" customFormat="1">
      <c r="A43" s="380" t="s">
        <v>428</v>
      </c>
      <c r="B43" s="380" t="s">
        <v>1227</v>
      </c>
      <c r="C43" s="342">
        <f t="shared" si="2"/>
        <v>7553.58</v>
      </c>
      <c r="D43" s="10" t="s">
        <v>43</v>
      </c>
      <c r="F43" s="371" t="s">
        <v>431</v>
      </c>
      <c r="G43" s="290">
        <v>0</v>
      </c>
      <c r="H43" s="290"/>
    </row>
    <row r="44" spans="1:8" s="371" customFormat="1">
      <c r="A44" s="382" t="s">
        <v>430</v>
      </c>
      <c r="B44" s="382" t="s">
        <v>431</v>
      </c>
      <c r="C44" s="342">
        <f t="shared" si="2"/>
        <v>0</v>
      </c>
      <c r="D44" s="10" t="s">
        <v>43</v>
      </c>
      <c r="F44" s="371" t="s">
        <v>433</v>
      </c>
      <c r="G44" s="290">
        <v>0</v>
      </c>
      <c r="H44" s="290"/>
    </row>
    <row r="45" spans="1:8" s="371" customFormat="1">
      <c r="A45" s="380" t="s">
        <v>432</v>
      </c>
      <c r="B45" s="382" t="s">
        <v>433</v>
      </c>
      <c r="C45" s="342">
        <f t="shared" si="2"/>
        <v>0</v>
      </c>
      <c r="D45" s="10" t="s">
        <v>43</v>
      </c>
      <c r="F45" s="371" t="s">
        <v>435</v>
      </c>
      <c r="G45" s="290">
        <v>20522.07</v>
      </c>
      <c r="H45" s="290"/>
    </row>
    <row r="46" spans="1:8" s="371" customFormat="1">
      <c r="A46" s="380" t="s">
        <v>434</v>
      </c>
      <c r="B46" s="382" t="s">
        <v>435</v>
      </c>
      <c r="C46" s="342">
        <f t="shared" si="2"/>
        <v>20522.07</v>
      </c>
      <c r="D46" s="10" t="s">
        <v>43</v>
      </c>
      <c r="F46" s="371" t="s">
        <v>437</v>
      </c>
      <c r="G46" s="290">
        <v>85</v>
      </c>
      <c r="H46" s="290"/>
    </row>
    <row r="47" spans="1:8" s="371" customFormat="1">
      <c r="A47" s="380" t="s">
        <v>436</v>
      </c>
      <c r="B47" s="382" t="s">
        <v>437</v>
      </c>
      <c r="C47" s="342">
        <f t="shared" si="2"/>
        <v>85</v>
      </c>
      <c r="D47" s="10" t="s">
        <v>43</v>
      </c>
      <c r="F47" s="371" t="s">
        <v>439</v>
      </c>
      <c r="G47" s="290">
        <v>365.77</v>
      </c>
      <c r="H47" s="290"/>
    </row>
    <row r="48" spans="1:8" s="371" customFormat="1">
      <c r="A48" s="380" t="s">
        <v>438</v>
      </c>
      <c r="B48" s="382" t="s">
        <v>439</v>
      </c>
      <c r="C48" s="342">
        <f t="shared" si="2"/>
        <v>365.77</v>
      </c>
      <c r="D48" s="10" t="s">
        <v>43</v>
      </c>
      <c r="F48" s="371" t="s">
        <v>441</v>
      </c>
      <c r="G48" s="290">
        <v>85428</v>
      </c>
      <c r="H48" s="290"/>
    </row>
    <row r="49" spans="1:8" s="371" customFormat="1">
      <c r="A49" s="380" t="s">
        <v>440</v>
      </c>
      <c r="B49" s="382" t="s">
        <v>441</v>
      </c>
      <c r="C49" s="342">
        <f t="shared" si="2"/>
        <v>85428</v>
      </c>
      <c r="D49" s="10" t="s">
        <v>43</v>
      </c>
      <c r="F49" s="371" t="s">
        <v>531</v>
      </c>
      <c r="G49" s="290">
        <v>0</v>
      </c>
      <c r="H49" s="290"/>
    </row>
    <row r="50" spans="1:8" s="371" customFormat="1">
      <c r="A50" s="380" t="s">
        <v>533</v>
      </c>
      <c r="B50" s="382" t="s">
        <v>531</v>
      </c>
      <c r="C50" s="342">
        <f t="shared" si="2"/>
        <v>0</v>
      </c>
      <c r="D50" s="371" t="s">
        <v>43</v>
      </c>
      <c r="F50" s="371" t="s">
        <v>532</v>
      </c>
      <c r="G50" s="290">
        <v>24096</v>
      </c>
      <c r="H50" s="290"/>
    </row>
    <row r="51" spans="1:8" s="371" customFormat="1">
      <c r="A51" s="380" t="s">
        <v>534</v>
      </c>
      <c r="B51" s="382" t="s">
        <v>532</v>
      </c>
      <c r="C51" s="342">
        <f t="shared" si="2"/>
        <v>24096</v>
      </c>
      <c r="D51" s="371" t="s">
        <v>43</v>
      </c>
      <c r="F51" s="371" t="s">
        <v>836</v>
      </c>
      <c r="G51" s="290">
        <v>0</v>
      </c>
      <c r="H51" s="290"/>
    </row>
    <row r="52" spans="1:8" s="371" customFormat="1">
      <c r="A52" s="380" t="s">
        <v>839</v>
      </c>
      <c r="B52" s="382" t="s">
        <v>837</v>
      </c>
      <c r="C52" s="342">
        <f t="shared" si="2"/>
        <v>5500</v>
      </c>
      <c r="D52" s="371" t="s">
        <v>43</v>
      </c>
      <c r="F52" s="371" t="s">
        <v>837</v>
      </c>
      <c r="G52" s="290">
        <v>5500</v>
      </c>
      <c r="H52" s="290"/>
    </row>
    <row r="53" spans="1:8" s="371" customFormat="1">
      <c r="A53" s="380"/>
      <c r="B53" s="382"/>
      <c r="C53" s="342"/>
      <c r="F53" s="371" t="s">
        <v>1227</v>
      </c>
      <c r="G53" s="290">
        <v>7553.58</v>
      </c>
      <c r="H53" s="290"/>
    </row>
    <row r="54" spans="1:8" s="371" customFormat="1">
      <c r="A54" s="370" t="s">
        <v>442</v>
      </c>
      <c r="B54" s="370"/>
      <c r="C54" s="342"/>
      <c r="G54" s="290"/>
      <c r="H54" s="290"/>
    </row>
    <row r="55" spans="1:8" s="371" customFormat="1">
      <c r="A55" s="371" t="s">
        <v>443</v>
      </c>
      <c r="B55" s="371" t="s">
        <v>444</v>
      </c>
      <c r="C55" s="342">
        <f>VLOOKUP(B55,F:G,2,FALSE)</f>
        <v>968.75</v>
      </c>
      <c r="D55" s="5" t="s">
        <v>36</v>
      </c>
      <c r="G55" s="290"/>
      <c r="H55" s="290"/>
    </row>
    <row r="56" spans="1:8" s="371" customFormat="1">
      <c r="A56" s="371" t="s">
        <v>443</v>
      </c>
      <c r="B56" s="371" t="s">
        <v>445</v>
      </c>
      <c r="C56" s="342">
        <v>0</v>
      </c>
      <c r="D56" s="5" t="s">
        <v>36</v>
      </c>
      <c r="F56" s="371" t="s">
        <v>444</v>
      </c>
      <c r="G56" s="290">
        <v>968.75</v>
      </c>
      <c r="H56" s="290"/>
    </row>
    <row r="57" spans="1:8" s="371" customFormat="1">
      <c r="C57" s="342"/>
      <c r="F57" s="371" t="s">
        <v>838</v>
      </c>
      <c r="G57" s="371">
        <v>0</v>
      </c>
      <c r="H57" s="290"/>
    </row>
    <row r="58" spans="1:8" s="371" customFormat="1">
      <c r="A58" s="371" t="s">
        <v>43</v>
      </c>
      <c r="C58" s="342"/>
      <c r="G58" s="934">
        <f>SUM(G8:G57)</f>
        <v>230044.52</v>
      </c>
      <c r="H58" s="290"/>
    </row>
    <row r="59" spans="1:8" s="371" customFormat="1" ht="25.5">
      <c r="A59" s="384" t="s">
        <v>446</v>
      </c>
      <c r="B59" s="371" t="s">
        <v>447</v>
      </c>
      <c r="C59" s="342">
        <v>0</v>
      </c>
      <c r="G59" s="934">
        <f>G58-C62</f>
        <v>0</v>
      </c>
      <c r="H59" s="290"/>
    </row>
    <row r="60" spans="1:8" s="371" customFormat="1">
      <c r="C60" s="342"/>
      <c r="H60" s="290"/>
    </row>
    <row r="61" spans="1:8" s="371" customFormat="1">
      <c r="C61" s="342"/>
      <c r="H61" s="290"/>
    </row>
    <row r="62" spans="1:8" s="371" customFormat="1" ht="13.5" thickBot="1">
      <c r="A62" s="385"/>
      <c r="B62" s="385"/>
      <c r="C62" s="341">
        <f>SUM(C7:C61)</f>
        <v>230044.52000000002</v>
      </c>
      <c r="H62" s="290"/>
    </row>
    <row r="63" spans="1:8" s="371" customFormat="1" ht="13.5" thickTop="1">
      <c r="C63" s="342"/>
      <c r="H63" s="290"/>
    </row>
    <row r="64" spans="1:8" s="371" customFormat="1">
      <c r="C64" s="342"/>
    </row>
    <row r="65" spans="1:3">
      <c r="A65" s="386"/>
      <c r="B65" s="387"/>
      <c r="C65" s="388">
        <f>+C62-C64</f>
        <v>230044.52000000002</v>
      </c>
    </row>
    <row r="66" spans="1:3">
      <c r="A66" s="389"/>
      <c r="B66" s="387"/>
      <c r="C66" s="388">
        <f>'Estado ganancias o pérdidas'!J50</f>
        <v>163038</v>
      </c>
    </row>
    <row r="67" spans="1:3">
      <c r="A67" s="389"/>
      <c r="B67" s="387"/>
      <c r="C67" s="388">
        <f>C65-C66</f>
        <v>67006.520000000019</v>
      </c>
    </row>
    <row r="68" spans="1:3">
      <c r="A68" s="389"/>
      <c r="B68" s="387"/>
      <c r="C68" s="387"/>
    </row>
    <row r="69" spans="1:3">
      <c r="A69" s="389"/>
      <c r="B69" s="387"/>
      <c r="C69" s="387"/>
    </row>
  </sheetData>
  <pageMargins left="0.7" right="0.7" top="0.75" bottom="0.75" header="0.3" footer="0.3"/>
  <pageSetup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24"/>
  <sheetViews>
    <sheetView topLeftCell="A16" workbookViewId="0">
      <selection activeCell="G13" sqref="G13"/>
    </sheetView>
  </sheetViews>
  <sheetFormatPr baseColWidth="10" defaultColWidth="11.42578125" defaultRowHeight="15"/>
  <cols>
    <col min="1" max="5" width="3" style="531" customWidth="1"/>
    <col min="6" max="6" width="83.140625" style="531" customWidth="1"/>
    <col min="7" max="7" width="11.5703125" style="532" bestFit="1" customWidth="1"/>
    <col min="8" max="8" width="33.42578125" bestFit="1" customWidth="1"/>
  </cols>
  <sheetData>
    <row r="1" spans="1:11" ht="15.75">
      <c r="A1" s="514" t="s">
        <v>462</v>
      </c>
      <c r="B1" s="515"/>
      <c r="C1" s="515"/>
      <c r="D1" s="515"/>
      <c r="E1" s="515"/>
      <c r="F1" s="515"/>
      <c r="G1" s="516"/>
    </row>
    <row r="2" spans="1:11" ht="18">
      <c r="A2" s="517" t="s">
        <v>540</v>
      </c>
      <c r="B2" s="515"/>
      <c r="C2" s="515"/>
      <c r="D2" s="515"/>
      <c r="E2" s="515"/>
      <c r="F2" s="515"/>
      <c r="G2" s="518"/>
    </row>
    <row r="3" spans="1:11">
      <c r="A3" s="519" t="s">
        <v>541</v>
      </c>
      <c r="B3" s="515"/>
      <c r="C3" s="515"/>
      <c r="D3" s="515"/>
      <c r="E3" s="515"/>
      <c r="F3" s="515"/>
      <c r="G3" s="516"/>
    </row>
    <row r="4" spans="1:11" s="522" customFormat="1" ht="15.75" thickBot="1">
      <c r="A4" s="520"/>
      <c r="B4" s="520"/>
      <c r="C4" s="520"/>
      <c r="D4" s="520"/>
      <c r="E4" s="520"/>
      <c r="F4" s="520"/>
      <c r="G4" s="521" t="s">
        <v>542</v>
      </c>
    </row>
    <row r="5" spans="1:11" ht="15.75" thickTop="1">
      <c r="A5" s="523"/>
      <c r="B5" s="523" t="s">
        <v>543</v>
      </c>
      <c r="C5" s="523"/>
      <c r="D5" s="523"/>
      <c r="E5" s="523"/>
      <c r="F5" s="523"/>
      <c r="G5" s="524"/>
    </row>
    <row r="6" spans="1:11">
      <c r="A6" s="523"/>
      <c r="B6" s="523"/>
      <c r="C6" s="523"/>
      <c r="D6" s="523" t="s">
        <v>544</v>
      </c>
      <c r="E6" s="523"/>
      <c r="F6" s="523"/>
      <c r="G6" s="524"/>
    </row>
    <row r="7" spans="1:11">
      <c r="A7" s="523"/>
      <c r="B7" s="523"/>
      <c r="C7" s="523"/>
      <c r="D7" s="523"/>
      <c r="E7" s="523" t="s">
        <v>545</v>
      </c>
      <c r="F7" s="523"/>
      <c r="G7" s="524"/>
    </row>
    <row r="8" spans="1:11">
      <c r="A8" s="523"/>
      <c r="B8" s="523"/>
      <c r="C8" s="523"/>
      <c r="D8" s="523"/>
      <c r="E8" s="523"/>
      <c r="F8" s="523" t="s">
        <v>546</v>
      </c>
      <c r="G8" s="534">
        <f>VLOOKUP(F8,'mayor jun2016'!F:G,2,FALSE)</f>
        <v>619898.53</v>
      </c>
      <c r="H8" t="s">
        <v>27</v>
      </c>
      <c r="J8" s="405">
        <f>K8-G13-G21</f>
        <v>-50796.229999999996</v>
      </c>
      <c r="K8" s="533">
        <v>35257.11</v>
      </c>
    </row>
    <row r="9" spans="1:11">
      <c r="A9" s="523"/>
      <c r="B9" s="523"/>
      <c r="C9" s="523"/>
      <c r="D9" s="523"/>
      <c r="E9" s="523"/>
      <c r="F9" s="523" t="s">
        <v>547</v>
      </c>
      <c r="G9" s="534">
        <f>VLOOKUP(F9,'mayor jun2016'!F:G,2,FALSE)</f>
        <v>0</v>
      </c>
      <c r="J9" s="405">
        <f>K9-G29</f>
        <v>-14065.679999999998</v>
      </c>
      <c r="K9" s="533">
        <v>10631.03</v>
      </c>
    </row>
    <row r="10" spans="1:11">
      <c r="A10" s="523"/>
      <c r="B10" s="523"/>
      <c r="C10" s="523"/>
      <c r="D10" s="523"/>
      <c r="E10" s="523"/>
      <c r="F10" s="523" t="s">
        <v>548</v>
      </c>
      <c r="G10" s="534">
        <f>VLOOKUP(F10,'mayor jun2016'!F:G,2,FALSE)</f>
        <v>273013.15000000002</v>
      </c>
      <c r="H10" t="s">
        <v>27</v>
      </c>
      <c r="J10" s="405">
        <f>K10-G8-G10-G11-G12-G14-G15-G26-G35</f>
        <v>-732742.29000000015</v>
      </c>
      <c r="K10" s="533">
        <v>764960.44000000006</v>
      </c>
    </row>
    <row r="11" spans="1:11">
      <c r="A11" s="523"/>
      <c r="B11" s="523"/>
      <c r="C11" s="523"/>
      <c r="D11" s="523"/>
      <c r="E11" s="523"/>
      <c r="F11" s="523" t="s">
        <v>549</v>
      </c>
      <c r="G11" s="534">
        <f>VLOOKUP(F11,'mayor jun2016'!F:G,2,FALSE)</f>
        <v>71844.460000000006</v>
      </c>
      <c r="H11" t="s">
        <v>27</v>
      </c>
      <c r="J11" s="528">
        <f>K11-G18</f>
        <v>-120569.82999999999</v>
      </c>
      <c r="K11" s="533">
        <v>90139.57</v>
      </c>
    </row>
    <row r="12" spans="1:11">
      <c r="A12" s="523"/>
      <c r="B12" s="523"/>
      <c r="C12" s="523"/>
      <c r="D12" s="523"/>
      <c r="E12" s="523"/>
      <c r="F12" s="523" t="s">
        <v>550</v>
      </c>
      <c r="G12" s="534">
        <f>VLOOKUP(F12,'mayor jun2016'!F:G,2,FALSE)</f>
        <v>408856.11</v>
      </c>
      <c r="H12" t="s">
        <v>27</v>
      </c>
      <c r="J12" s="405">
        <f>K12-G24-G27-G28-G30-G31</f>
        <v>-54523.64</v>
      </c>
      <c r="K12" s="533">
        <v>74820.97</v>
      </c>
    </row>
    <row r="13" spans="1:11">
      <c r="A13" s="523"/>
      <c r="B13" s="523"/>
      <c r="C13" s="523"/>
      <c r="D13" s="523"/>
      <c r="E13" s="523"/>
      <c r="F13" s="523" t="s">
        <v>551</v>
      </c>
      <c r="G13" s="534">
        <f>VLOOKUP(F13,'mayor jun2016'!F:G,2,FALSE)</f>
        <v>85950.54</v>
      </c>
      <c r="H13" t="s">
        <v>552</v>
      </c>
      <c r="J13" s="405">
        <f>K13-G34-G36-G37-G38</f>
        <v>-5097.84</v>
      </c>
      <c r="K13" s="533">
        <v>14916.06</v>
      </c>
    </row>
    <row r="14" spans="1:11">
      <c r="A14" s="523"/>
      <c r="B14" s="523"/>
      <c r="C14" s="523"/>
      <c r="D14" s="523"/>
      <c r="E14" s="523"/>
      <c r="F14" s="523" t="s">
        <v>553</v>
      </c>
      <c r="G14" s="534">
        <f>VLOOKUP(F14,'mayor jun2016'!F:G,2,FALSE)</f>
        <v>38053.17</v>
      </c>
      <c r="H14" t="s">
        <v>27</v>
      </c>
    </row>
    <row r="15" spans="1:11" ht="15.75" thickBot="1">
      <c r="A15" s="523"/>
      <c r="B15" s="523"/>
      <c r="C15" s="523"/>
      <c r="D15" s="523"/>
      <c r="E15" s="523"/>
      <c r="F15" s="523" t="s">
        <v>554</v>
      </c>
      <c r="G15" s="535">
        <f>VLOOKUP(F15,'mayor jun2016'!F:G,2,FALSE)</f>
        <v>25676</v>
      </c>
      <c r="H15" t="s">
        <v>27</v>
      </c>
    </row>
    <row r="16" spans="1:11">
      <c r="A16" s="523"/>
      <c r="B16" s="523"/>
      <c r="C16" s="523"/>
      <c r="D16" s="523"/>
      <c r="E16" s="523" t="s">
        <v>555</v>
      </c>
      <c r="F16" s="523"/>
      <c r="G16" s="524">
        <f>ROUND(SUM(G7:G15),5)</f>
        <v>1523291.96</v>
      </c>
    </row>
    <row r="17" spans="1:8">
      <c r="A17" s="523"/>
      <c r="B17" s="523"/>
      <c r="C17" s="523"/>
      <c r="D17" s="523"/>
      <c r="E17" s="523" t="s">
        <v>556</v>
      </c>
      <c r="F17" s="523"/>
      <c r="G17" s="524"/>
    </row>
    <row r="18" spans="1:8" ht="15.75" thickBot="1">
      <c r="A18" s="523"/>
      <c r="B18" s="523"/>
      <c r="C18" s="523"/>
      <c r="D18" s="523"/>
      <c r="E18" s="523"/>
      <c r="F18" s="523" t="s">
        <v>557</v>
      </c>
      <c r="G18" s="535">
        <f>VLOOKUP(F18,'mayor jun2016'!F:G,2,FALSE)</f>
        <v>210709.4</v>
      </c>
      <c r="H18" t="s">
        <v>372</v>
      </c>
    </row>
    <row r="19" spans="1:8">
      <c r="A19" s="523"/>
      <c r="B19" s="523"/>
      <c r="C19" s="523"/>
      <c r="D19" s="523"/>
      <c r="E19" s="523" t="s">
        <v>558</v>
      </c>
      <c r="F19" s="523"/>
      <c r="G19" s="524">
        <f>ROUND(SUM(G17:G18),5)</f>
        <v>210709.4</v>
      </c>
    </row>
    <row r="20" spans="1:8">
      <c r="A20" s="523"/>
      <c r="B20" s="523"/>
      <c r="C20" s="523"/>
      <c r="D20" s="523"/>
      <c r="E20" s="523" t="s">
        <v>559</v>
      </c>
      <c r="F20" s="523"/>
      <c r="G20" s="524"/>
    </row>
    <row r="21" spans="1:8" ht="15.75" thickBot="1">
      <c r="A21" s="523"/>
      <c r="B21" s="523"/>
      <c r="C21" s="523"/>
      <c r="D21" s="523"/>
      <c r="E21" s="523"/>
      <c r="F21" s="523" t="s">
        <v>560</v>
      </c>
      <c r="G21" s="535">
        <f>VLOOKUP(F21,'mayor jun2016'!F:G,2,FALSE)</f>
        <v>102.8</v>
      </c>
      <c r="H21" t="s">
        <v>552</v>
      </c>
    </row>
    <row r="22" spans="1:8">
      <c r="A22" s="523"/>
      <c r="B22" s="523"/>
      <c r="C22" s="523"/>
      <c r="D22" s="523"/>
      <c r="E22" s="523" t="s">
        <v>561</v>
      </c>
      <c r="F22" s="523"/>
      <c r="G22" s="524">
        <f>ROUND(SUM(G20:G21),5)</f>
        <v>102.8</v>
      </c>
    </row>
    <row r="23" spans="1:8">
      <c r="A23" s="523"/>
      <c r="B23" s="523"/>
      <c r="C23" s="523"/>
      <c r="D23" s="523"/>
      <c r="E23" s="523" t="s">
        <v>562</v>
      </c>
      <c r="F23" s="523"/>
      <c r="G23" s="524"/>
    </row>
    <row r="24" spans="1:8">
      <c r="A24" s="523"/>
      <c r="B24" s="523"/>
      <c r="C24" s="523"/>
      <c r="D24" s="523"/>
      <c r="E24" s="523"/>
      <c r="F24" s="523" t="s">
        <v>563</v>
      </c>
      <c r="G24" s="534">
        <f>VLOOKUP(F24,'mayor jun2016'!F:G,2,FALSE)</f>
        <v>-4067.97</v>
      </c>
      <c r="H24" t="s">
        <v>32</v>
      </c>
    </row>
    <row r="25" spans="1:8">
      <c r="A25" s="523"/>
      <c r="B25" s="523"/>
      <c r="C25" s="523"/>
      <c r="D25" s="523"/>
      <c r="E25" s="523"/>
      <c r="F25" s="523" t="s">
        <v>564</v>
      </c>
      <c r="G25" s="534">
        <f>VLOOKUP(F25,'mayor jun2016'!F:G,2,FALSE)</f>
        <v>0</v>
      </c>
    </row>
    <row r="26" spans="1:8">
      <c r="A26" s="523"/>
      <c r="B26" s="523"/>
      <c r="C26" s="523"/>
      <c r="D26" s="523"/>
      <c r="E26" s="523"/>
      <c r="F26" s="523" t="s">
        <v>565</v>
      </c>
      <c r="G26" s="534">
        <f>VLOOKUP(F26,'mayor jun2016'!F:G,2,FALSE)</f>
        <v>10269.81</v>
      </c>
      <c r="H26" t="s">
        <v>27</v>
      </c>
    </row>
    <row r="27" spans="1:8">
      <c r="A27" s="523"/>
      <c r="B27" s="523"/>
      <c r="C27" s="523"/>
      <c r="D27" s="523"/>
      <c r="E27" s="523"/>
      <c r="F27" s="523" t="s">
        <v>566</v>
      </c>
      <c r="G27" s="534">
        <f>VLOOKUP(F27,'mayor jun2016'!F:G,2,FALSE)</f>
        <v>1610</v>
      </c>
      <c r="H27" t="s">
        <v>32</v>
      </c>
    </row>
    <row r="28" spans="1:8">
      <c r="A28" s="523"/>
      <c r="B28" s="523"/>
      <c r="C28" s="523"/>
      <c r="D28" s="523"/>
      <c r="E28" s="523"/>
      <c r="F28" s="523" t="s">
        <v>567</v>
      </c>
      <c r="G28" s="534">
        <f>VLOOKUP(F28,'mayor jun2016'!F:G,2,FALSE)</f>
        <v>7485.15</v>
      </c>
      <c r="H28" t="s">
        <v>32</v>
      </c>
    </row>
    <row r="29" spans="1:8">
      <c r="A29" s="523"/>
      <c r="B29" s="523"/>
      <c r="C29" s="523"/>
      <c r="D29" s="523"/>
      <c r="E29" s="523"/>
      <c r="F29" s="523" t="s">
        <v>568</v>
      </c>
      <c r="G29" s="534">
        <f>VLOOKUP(F29,'mayor jun2016'!F:G,2,FALSE)</f>
        <v>24696.71</v>
      </c>
      <c r="H29" t="s">
        <v>660</v>
      </c>
    </row>
    <row r="30" spans="1:8">
      <c r="A30" s="523"/>
      <c r="B30" s="523"/>
      <c r="C30" s="523"/>
      <c r="D30" s="523"/>
      <c r="E30" s="523"/>
      <c r="F30" s="523" t="s">
        <v>569</v>
      </c>
      <c r="G30" s="534">
        <f>VLOOKUP(F30,'mayor jun2016'!F:G,2,FALSE)</f>
        <v>-2583.9499999999998</v>
      </c>
      <c r="H30" t="s">
        <v>32</v>
      </c>
    </row>
    <row r="31" spans="1:8" ht="15.75" thickBot="1">
      <c r="A31" s="523"/>
      <c r="B31" s="523"/>
      <c r="C31" s="523"/>
      <c r="D31" s="523"/>
      <c r="E31" s="523"/>
      <c r="F31" s="523" t="s">
        <v>570</v>
      </c>
      <c r="G31" s="535">
        <f>VLOOKUP(F31,'mayor jun2016'!F:G,2,FALSE)</f>
        <v>126901.38</v>
      </c>
      <c r="H31" t="s">
        <v>32</v>
      </c>
    </row>
    <row r="32" spans="1:8">
      <c r="A32" s="523"/>
      <c r="B32" s="523"/>
      <c r="C32" s="523"/>
      <c r="D32" s="523"/>
      <c r="E32" s="523" t="s">
        <v>571</v>
      </c>
      <c r="F32" s="523"/>
      <c r="G32" s="524">
        <f>ROUND(SUM(G23:G31),5)</f>
        <v>164311.13</v>
      </c>
    </row>
    <row r="33" spans="1:8" ht="30" customHeight="1">
      <c r="A33" s="523"/>
      <c r="B33" s="523"/>
      <c r="C33" s="523"/>
      <c r="D33" s="523"/>
      <c r="E33" s="523" t="s">
        <v>572</v>
      </c>
      <c r="F33" s="523"/>
      <c r="G33" s="524"/>
    </row>
    <row r="34" spans="1:8">
      <c r="A34" s="523"/>
      <c r="B34" s="523"/>
      <c r="C34" s="523"/>
      <c r="D34" s="523"/>
      <c r="E34" s="523"/>
      <c r="F34" s="523" t="s">
        <v>573</v>
      </c>
      <c r="G34" s="534">
        <f>VLOOKUP(F34,'mayor jun2016'!F:G,2,FALSE)</f>
        <v>11051.33</v>
      </c>
      <c r="H34" t="s">
        <v>33</v>
      </c>
    </row>
    <row r="35" spans="1:8">
      <c r="A35" s="523"/>
      <c r="B35" s="523"/>
      <c r="C35" s="523"/>
      <c r="D35" s="523"/>
      <c r="E35" s="523"/>
      <c r="F35" s="523" t="s">
        <v>574</v>
      </c>
      <c r="G35" s="534">
        <f>VLOOKUP(F35,'mayor jun2016'!F:G,2,FALSE)</f>
        <v>50091.5</v>
      </c>
      <c r="H35" t="s">
        <v>27</v>
      </c>
    </row>
    <row r="36" spans="1:8">
      <c r="A36" s="523"/>
      <c r="B36" s="523"/>
      <c r="C36" s="523"/>
      <c r="D36" s="523"/>
      <c r="E36" s="523"/>
      <c r="F36" s="523" t="s">
        <v>575</v>
      </c>
      <c r="G36" s="534">
        <f>VLOOKUP(F36,'mayor jun2016'!F:G,2,FALSE)</f>
        <v>5707.98</v>
      </c>
      <c r="H36" t="s">
        <v>33</v>
      </c>
    </row>
    <row r="37" spans="1:8">
      <c r="A37" s="523"/>
      <c r="B37" s="523"/>
      <c r="C37" s="523"/>
      <c r="D37" s="523"/>
      <c r="E37" s="523"/>
      <c r="F37" s="523" t="s">
        <v>576</v>
      </c>
      <c r="G37" s="534">
        <f>VLOOKUP(F37,'mayor jun2016'!F:G,2,FALSE)</f>
        <v>104.59</v>
      </c>
      <c r="H37" t="s">
        <v>33</v>
      </c>
    </row>
    <row r="38" spans="1:8" ht="15.75" thickBot="1">
      <c r="A38" s="523"/>
      <c r="B38" s="523"/>
      <c r="C38" s="523"/>
      <c r="D38" s="523"/>
      <c r="E38" s="523"/>
      <c r="F38" s="523" t="s">
        <v>577</v>
      </c>
      <c r="G38" s="535">
        <f>VLOOKUP(F38,'mayor jun2016'!F:G,2,FALSE)</f>
        <v>3150</v>
      </c>
      <c r="H38" t="s">
        <v>33</v>
      </c>
    </row>
    <row r="39" spans="1:8" ht="15.75" thickBot="1">
      <c r="A39" s="523"/>
      <c r="B39" s="523"/>
      <c r="C39" s="523"/>
      <c r="D39" s="523"/>
      <c r="E39" s="523" t="s">
        <v>578</v>
      </c>
      <c r="F39" s="523"/>
      <c r="G39" s="526">
        <f>ROUND(SUM(G33:G38),5)</f>
        <v>70105.399999999994</v>
      </c>
    </row>
    <row r="40" spans="1:8" ht="30" customHeight="1" thickBot="1">
      <c r="A40" s="523"/>
      <c r="B40" s="523"/>
      <c r="C40" s="523"/>
      <c r="D40" s="523" t="s">
        <v>579</v>
      </c>
      <c r="E40" s="523"/>
      <c r="F40" s="523"/>
      <c r="G40" s="527">
        <f>ROUND(G6+G16+G19+G22+G32+G39,5)</f>
        <v>1968520.69</v>
      </c>
    </row>
    <row r="41" spans="1:8" ht="30" customHeight="1">
      <c r="A41" s="523"/>
      <c r="B41" s="523"/>
      <c r="C41" s="523" t="s">
        <v>580</v>
      </c>
      <c r="D41" s="523"/>
      <c r="E41" s="523"/>
      <c r="F41" s="523"/>
      <c r="G41" s="524">
        <f>G40</f>
        <v>1968520.69</v>
      </c>
    </row>
    <row r="42" spans="1:8" ht="30" customHeight="1">
      <c r="A42" s="523"/>
      <c r="B42" s="523"/>
      <c r="C42" s="523"/>
      <c r="D42" s="523" t="s">
        <v>581</v>
      </c>
      <c r="E42" s="523"/>
      <c r="F42" s="523"/>
      <c r="G42" s="524"/>
    </row>
    <row r="43" spans="1:8">
      <c r="A43" s="523"/>
      <c r="B43" s="523"/>
      <c r="C43" s="523"/>
      <c r="D43" s="523"/>
      <c r="E43" s="523" t="s">
        <v>582</v>
      </c>
      <c r="F43" s="523"/>
      <c r="G43" s="524"/>
    </row>
    <row r="44" spans="1:8">
      <c r="A44" s="523"/>
      <c r="B44" s="523"/>
      <c r="C44" s="523"/>
      <c r="D44" s="523"/>
      <c r="E44" s="523"/>
      <c r="F44" s="523" t="s">
        <v>583</v>
      </c>
      <c r="G44" s="706">
        <f>VLOOKUP(F44,'mayor jun2016'!F:G,2,FALSE)</f>
        <v>8772.86</v>
      </c>
      <c r="H44" t="s">
        <v>30</v>
      </c>
    </row>
    <row r="45" spans="1:8">
      <c r="A45" s="523"/>
      <c r="B45" s="523"/>
      <c r="C45" s="523"/>
      <c r="D45" s="523"/>
      <c r="E45" s="523"/>
      <c r="F45" s="523" t="s">
        <v>584</v>
      </c>
      <c r="G45" s="706">
        <f>VLOOKUP(F45,'mayor jun2016'!F:G,2,FALSE)</f>
        <v>3651.26</v>
      </c>
      <c r="H45" t="s">
        <v>30</v>
      </c>
    </row>
    <row r="46" spans="1:8">
      <c r="A46" s="523"/>
      <c r="B46" s="523"/>
      <c r="C46" s="523"/>
      <c r="D46" s="523"/>
      <c r="E46" s="523"/>
      <c r="F46" s="523" t="s">
        <v>585</v>
      </c>
      <c r="G46" s="706">
        <f>VLOOKUP(F46,'mayor jun2016'!F:G,2,FALSE)</f>
        <v>1028739.19</v>
      </c>
      <c r="H46" t="s">
        <v>30</v>
      </c>
    </row>
    <row r="47" spans="1:8">
      <c r="A47" s="523"/>
      <c r="B47" s="523"/>
      <c r="C47" s="523"/>
      <c r="D47" s="523"/>
      <c r="E47" s="523"/>
      <c r="F47" s="523" t="s">
        <v>586</v>
      </c>
      <c r="G47" s="706">
        <f>VLOOKUP(F47,'mayor jun2016'!F:G,2,FALSE)</f>
        <v>118401.78</v>
      </c>
      <c r="H47" t="s">
        <v>30</v>
      </c>
    </row>
    <row r="48" spans="1:8" ht="15.75" thickBot="1">
      <c r="A48" s="523"/>
      <c r="B48" s="523"/>
      <c r="C48" s="523"/>
      <c r="D48" s="523"/>
      <c r="E48" s="523"/>
      <c r="F48" s="523" t="s">
        <v>587</v>
      </c>
      <c r="G48" s="707">
        <f>VLOOKUP(F48,'mayor jun2016'!F:G,2,FALSE)</f>
        <v>4750</v>
      </c>
      <c r="H48" t="s">
        <v>30</v>
      </c>
    </row>
    <row r="49" spans="1:8">
      <c r="A49" s="523"/>
      <c r="B49" s="523"/>
      <c r="C49" s="523"/>
      <c r="D49" s="523"/>
      <c r="E49" s="523" t="s">
        <v>588</v>
      </c>
      <c r="F49" s="523"/>
      <c r="G49" s="524">
        <f>ROUND(SUM(G43:G48),5)</f>
        <v>1164315.0900000001</v>
      </c>
    </row>
    <row r="50" spans="1:8">
      <c r="A50" s="523"/>
      <c r="B50" s="523"/>
      <c r="C50" s="523"/>
      <c r="D50" s="523"/>
      <c r="E50" s="523" t="s">
        <v>589</v>
      </c>
      <c r="F50" s="523"/>
      <c r="G50" s="524"/>
    </row>
    <row r="51" spans="1:8">
      <c r="A51" s="523"/>
      <c r="B51" s="523"/>
      <c r="C51" s="523"/>
      <c r="D51" s="523"/>
      <c r="E51" s="523"/>
      <c r="F51" s="523" t="s">
        <v>590</v>
      </c>
      <c r="G51" s="706">
        <f>VLOOKUP(F51,'mayor jun2016'!F:G,2,FALSE)</f>
        <v>163757.04999999999</v>
      </c>
      <c r="H51" t="s">
        <v>35</v>
      </c>
    </row>
    <row r="52" spans="1:8">
      <c r="A52" s="523"/>
      <c r="B52" s="523"/>
      <c r="C52" s="523"/>
      <c r="D52" s="523"/>
      <c r="E52" s="523"/>
      <c r="F52" s="523" t="s">
        <v>591</v>
      </c>
      <c r="G52" s="706">
        <f>VLOOKUP(F52,'mayor jun2016'!F:G,2,FALSE)</f>
        <v>68163.47</v>
      </c>
      <c r="H52" t="s">
        <v>35</v>
      </c>
    </row>
    <row r="53" spans="1:8">
      <c r="A53" s="523"/>
      <c r="B53" s="523"/>
      <c r="C53" s="523"/>
      <c r="D53" s="523"/>
      <c r="E53" s="523"/>
      <c r="F53" s="523" t="s">
        <v>592</v>
      </c>
      <c r="G53" s="706">
        <f>VLOOKUP(F53,'mayor jun2016'!F:G,2,FALSE)</f>
        <v>22729.17</v>
      </c>
      <c r="H53" t="s">
        <v>35</v>
      </c>
    </row>
    <row r="54" spans="1:8">
      <c r="A54" s="523"/>
      <c r="B54" s="523"/>
      <c r="C54" s="523"/>
      <c r="D54" s="523"/>
      <c r="E54" s="523"/>
      <c r="F54" s="523" t="s">
        <v>593</v>
      </c>
      <c r="G54" s="706">
        <f>VLOOKUP(F54,'mayor jun2016'!F:G,2,FALSE)</f>
        <v>79125.320000000007</v>
      </c>
      <c r="H54" t="s">
        <v>35</v>
      </c>
    </row>
    <row r="55" spans="1:8">
      <c r="A55" s="523"/>
      <c r="B55" s="523"/>
      <c r="C55" s="523"/>
      <c r="D55" s="523"/>
      <c r="E55" s="523"/>
      <c r="F55" s="523" t="s">
        <v>594</v>
      </c>
      <c r="G55" s="706">
        <f>VLOOKUP(F55,'mayor jun2016'!F:G,2,FALSE)</f>
        <v>4954.16</v>
      </c>
      <c r="H55" t="s">
        <v>35</v>
      </c>
    </row>
    <row r="56" spans="1:8">
      <c r="A56" s="523"/>
      <c r="B56" s="523"/>
      <c r="C56" s="523"/>
      <c r="D56" s="523"/>
      <c r="E56" s="523"/>
      <c r="F56" s="523" t="s">
        <v>595</v>
      </c>
      <c r="G56" s="706">
        <f>VLOOKUP(F56,'mayor jun2016'!F:G,2,FALSE)</f>
        <v>784.14</v>
      </c>
      <c r="H56" t="s">
        <v>35</v>
      </c>
    </row>
    <row r="57" spans="1:8">
      <c r="A57" s="523"/>
      <c r="B57" s="523"/>
      <c r="C57" s="523"/>
      <c r="D57" s="523"/>
      <c r="E57" s="523"/>
      <c r="F57" s="523" t="s">
        <v>596</v>
      </c>
      <c r="G57" s="706">
        <f>VLOOKUP(F57,'mayor jun2016'!F:G,2,FALSE)</f>
        <v>53668.14</v>
      </c>
      <c r="H57" t="s">
        <v>35</v>
      </c>
    </row>
    <row r="58" spans="1:8">
      <c r="A58" s="523"/>
      <c r="B58" s="523"/>
      <c r="C58" s="523"/>
      <c r="D58" s="523"/>
      <c r="E58" s="523"/>
      <c r="F58" s="523" t="s">
        <v>597</v>
      </c>
      <c r="G58" s="706">
        <f>VLOOKUP(F58,'mayor jun2016'!F:G,2,FALSE)</f>
        <v>39422.339999999997</v>
      </c>
      <c r="H58" t="s">
        <v>35</v>
      </c>
    </row>
    <row r="59" spans="1:8">
      <c r="A59" s="523"/>
      <c r="B59" s="523"/>
      <c r="C59" s="523"/>
      <c r="D59" s="523"/>
      <c r="E59" s="523"/>
      <c r="F59" s="523" t="s">
        <v>598</v>
      </c>
      <c r="G59" s="706">
        <f>VLOOKUP(F59,'mayor jun2016'!F:G,2,FALSE)</f>
        <v>2690.57</v>
      </c>
      <c r="H59" t="s">
        <v>35</v>
      </c>
    </row>
    <row r="60" spans="1:8">
      <c r="A60" s="523"/>
      <c r="B60" s="523"/>
      <c r="C60" s="523"/>
      <c r="D60" s="523"/>
      <c r="E60" s="523"/>
      <c r="F60" s="523" t="s">
        <v>599</v>
      </c>
      <c r="G60" s="706">
        <f>VLOOKUP(F60,'mayor jun2016'!F:G,2,FALSE)</f>
        <v>3021.91</v>
      </c>
      <c r="H60" t="s">
        <v>35</v>
      </c>
    </row>
    <row r="61" spans="1:8">
      <c r="A61" s="523"/>
      <c r="B61" s="523"/>
      <c r="C61" s="523"/>
      <c r="D61" s="523"/>
      <c r="E61" s="523"/>
      <c r="F61" s="523" t="s">
        <v>600</v>
      </c>
      <c r="G61" s="706">
        <f>VLOOKUP(F61,'mayor jun2016'!F:G,2,FALSE)</f>
        <v>17411</v>
      </c>
      <c r="H61" t="s">
        <v>35</v>
      </c>
    </row>
    <row r="62" spans="1:8" ht="15.75" thickBot="1">
      <c r="A62" s="523"/>
      <c r="B62" s="523"/>
      <c r="C62" s="523"/>
      <c r="D62" s="523"/>
      <c r="E62" s="523"/>
      <c r="F62" s="523" t="s">
        <v>601</v>
      </c>
      <c r="G62" s="707">
        <f>VLOOKUP(F62,'mayor jun2016'!F:G,2,FALSE)</f>
        <v>8057.48</v>
      </c>
      <c r="H62" t="s">
        <v>35</v>
      </c>
    </row>
    <row r="63" spans="1:8">
      <c r="A63" s="523"/>
      <c r="B63" s="523"/>
      <c r="C63" s="523"/>
      <c r="D63" s="523"/>
      <c r="E63" s="523" t="s">
        <v>602</v>
      </c>
      <c r="F63" s="523"/>
      <c r="G63" s="524">
        <f>ROUND(SUM(G50:G62),5)</f>
        <v>463784.75</v>
      </c>
    </row>
    <row r="64" spans="1:8">
      <c r="A64" s="523"/>
      <c r="B64" s="523"/>
      <c r="C64" s="523"/>
      <c r="D64" s="523"/>
      <c r="E64" s="523" t="s">
        <v>603</v>
      </c>
      <c r="F64" s="523"/>
      <c r="G64" s="524"/>
    </row>
    <row r="65" spans="1:8">
      <c r="A65" s="523"/>
      <c r="B65" s="523"/>
      <c r="C65" s="523"/>
      <c r="D65" s="523"/>
      <c r="E65" s="523"/>
      <c r="F65" s="523" t="s">
        <v>737</v>
      </c>
      <c r="G65" s="706">
        <f>VLOOKUP(F65,'mayor jun2016'!F:G,2,FALSE)</f>
        <v>1550</v>
      </c>
      <c r="H65" s="710" t="s">
        <v>35</v>
      </c>
    </row>
    <row r="66" spans="1:8">
      <c r="A66" s="523"/>
      <c r="B66" s="523"/>
      <c r="C66" s="523"/>
      <c r="D66" s="523"/>
      <c r="E66" s="523"/>
      <c r="F66" s="523" t="s">
        <v>604</v>
      </c>
      <c r="G66" s="706">
        <f>VLOOKUP(F66,'mayor jun2016'!F:G,2,FALSE)</f>
        <v>6918</v>
      </c>
      <c r="H66" t="s">
        <v>35</v>
      </c>
    </row>
    <row r="67" spans="1:8">
      <c r="A67" s="523"/>
      <c r="B67" s="523"/>
      <c r="C67" s="523"/>
      <c r="D67" s="523"/>
      <c r="E67" s="523"/>
      <c r="F67" s="523" t="s">
        <v>605</v>
      </c>
      <c r="G67" s="706">
        <f>VLOOKUP(F67,'mayor jun2016'!F:G,2,FALSE)</f>
        <v>651.52</v>
      </c>
      <c r="H67" t="s">
        <v>35</v>
      </c>
    </row>
    <row r="68" spans="1:8" ht="15.75" thickBot="1">
      <c r="A68" s="523"/>
      <c r="B68" s="523"/>
      <c r="C68" s="523"/>
      <c r="D68" s="523"/>
      <c r="E68" s="523"/>
      <c r="F68" s="523" t="s">
        <v>606</v>
      </c>
      <c r="G68" s="707">
        <f>VLOOKUP(F68,'mayor jun2016'!F:G,2,FALSE)</f>
        <v>8640.5</v>
      </c>
      <c r="H68" t="s">
        <v>35</v>
      </c>
    </row>
    <row r="69" spans="1:8">
      <c r="A69" s="523"/>
      <c r="B69" s="523"/>
      <c r="C69" s="523"/>
      <c r="D69" s="523"/>
      <c r="E69" s="523" t="s">
        <v>607</v>
      </c>
      <c r="F69" s="523"/>
      <c r="G69" s="524">
        <f>ROUND(SUM(G64:G68),5)</f>
        <v>17760.02</v>
      </c>
    </row>
    <row r="70" spans="1:8">
      <c r="A70" s="523"/>
      <c r="B70" s="523"/>
      <c r="C70" s="523"/>
      <c r="D70" s="523"/>
      <c r="E70" s="523" t="s">
        <v>608</v>
      </c>
      <c r="F70" s="523"/>
      <c r="G70" s="524"/>
    </row>
    <row r="71" spans="1:8">
      <c r="A71" s="523"/>
      <c r="B71" s="523"/>
      <c r="C71" s="523"/>
      <c r="D71" s="523"/>
      <c r="E71" s="523"/>
      <c r="F71" s="523" t="s">
        <v>609</v>
      </c>
      <c r="G71" s="534">
        <f>VLOOKUP(F71,'mayor jun2016'!F:G,2,FALSE)</f>
        <v>3723.6</v>
      </c>
      <c r="H71" t="s">
        <v>43</v>
      </c>
    </row>
    <row r="72" spans="1:8">
      <c r="A72" s="523"/>
      <c r="B72" s="523"/>
      <c r="C72" s="523"/>
      <c r="D72" s="523"/>
      <c r="E72" s="523"/>
      <c r="F72" s="523" t="s">
        <v>610</v>
      </c>
      <c r="G72" s="708">
        <f>VLOOKUP(F72,'mayor jun2016'!F:G,2,FALSE)</f>
        <v>7826.31</v>
      </c>
      <c r="H72" t="s">
        <v>36</v>
      </c>
    </row>
    <row r="73" spans="1:8" ht="15.75" thickBot="1">
      <c r="A73" s="523"/>
      <c r="B73" s="523"/>
      <c r="C73" s="523"/>
      <c r="D73" s="523"/>
      <c r="E73" s="523"/>
      <c r="F73" s="523" t="s">
        <v>611</v>
      </c>
      <c r="G73" s="707">
        <f>VLOOKUP(F73,'mayor jun2016'!F:G,2,FALSE)</f>
        <v>3533.17</v>
      </c>
      <c r="H73" t="s">
        <v>36</v>
      </c>
    </row>
    <row r="74" spans="1:8">
      <c r="A74" s="523"/>
      <c r="B74" s="523"/>
      <c r="C74" s="523"/>
      <c r="D74" s="523"/>
      <c r="E74" s="523" t="s">
        <v>612</v>
      </c>
      <c r="F74" s="523"/>
      <c r="G74" s="524">
        <f>ROUND(SUM(G70:G73),5)</f>
        <v>15083.08</v>
      </c>
    </row>
    <row r="75" spans="1:8">
      <c r="A75" s="523"/>
      <c r="B75" s="523"/>
      <c r="C75" s="523"/>
      <c r="D75" s="523"/>
      <c r="E75" s="523" t="s">
        <v>613</v>
      </c>
      <c r="F75" s="523"/>
      <c r="G75" s="524"/>
    </row>
    <row r="76" spans="1:8">
      <c r="A76" s="523"/>
      <c r="B76" s="523"/>
      <c r="C76" s="523"/>
      <c r="D76" s="523"/>
      <c r="E76" s="523"/>
      <c r="F76" s="523" t="s">
        <v>614</v>
      </c>
      <c r="G76" s="706">
        <f>VLOOKUP(F76,'mayor jun2016'!F:G,2,FALSE)</f>
        <v>20483.689999999999</v>
      </c>
      <c r="H76" t="s">
        <v>39</v>
      </c>
    </row>
    <row r="77" spans="1:8">
      <c r="A77" s="523"/>
      <c r="B77" s="523"/>
      <c r="C77" s="523"/>
      <c r="D77" s="523"/>
      <c r="E77" s="523"/>
      <c r="F77" s="523" t="s">
        <v>615</v>
      </c>
      <c r="G77" s="536">
        <f>VLOOKUP(F77,'mayor jun2016'!F:G,2,FALSE)</f>
        <v>989.75</v>
      </c>
      <c r="H77" t="s">
        <v>43</v>
      </c>
    </row>
    <row r="78" spans="1:8" ht="15.75" thickBot="1">
      <c r="A78" s="523"/>
      <c r="B78" s="523"/>
      <c r="C78" s="523"/>
      <c r="D78" s="523"/>
      <c r="E78" s="523"/>
      <c r="F78" s="523" t="s">
        <v>616</v>
      </c>
      <c r="G78" s="535">
        <f>VLOOKUP(F78,'mayor jun2016'!F:G,2,FALSE)</f>
        <v>3083.4</v>
      </c>
      <c r="H78" s="528" t="s">
        <v>43</v>
      </c>
    </row>
    <row r="79" spans="1:8">
      <c r="A79" s="523"/>
      <c r="B79" s="523"/>
      <c r="C79" s="523"/>
      <c r="D79" s="523"/>
      <c r="E79" s="523" t="s">
        <v>617</v>
      </c>
      <c r="F79" s="523"/>
      <c r="G79" s="524">
        <f>ROUND(SUM(G75:G78),5)</f>
        <v>24556.84</v>
      </c>
    </row>
    <row r="80" spans="1:8">
      <c r="A80" s="523"/>
      <c r="B80" s="523"/>
      <c r="C80" s="523"/>
      <c r="D80" s="523"/>
      <c r="E80" s="523" t="s">
        <v>618</v>
      </c>
      <c r="F80" s="523"/>
      <c r="G80" s="524"/>
    </row>
    <row r="81" spans="1:8" ht="15.75" thickBot="1">
      <c r="A81" s="523"/>
      <c r="B81" s="523"/>
      <c r="C81" s="523"/>
      <c r="D81" s="523"/>
      <c r="E81" s="523"/>
      <c r="F81" s="523" t="s">
        <v>619</v>
      </c>
      <c r="G81" s="707">
        <f>VLOOKUP(F81,'mayor jun2016'!F:G,2,FALSE)</f>
        <v>15657.18</v>
      </c>
      <c r="H81" t="s">
        <v>41</v>
      </c>
    </row>
    <row r="82" spans="1:8">
      <c r="A82" s="523"/>
      <c r="B82" s="523"/>
      <c r="C82" s="523"/>
      <c r="D82" s="523"/>
      <c r="E82" s="523" t="s">
        <v>620</v>
      </c>
      <c r="F82" s="523"/>
      <c r="G82" s="524">
        <f>ROUND(SUM(G80:G81),5)</f>
        <v>15657.18</v>
      </c>
    </row>
    <row r="83" spans="1:8">
      <c r="A83" s="523"/>
      <c r="B83" s="523"/>
      <c r="C83" s="523"/>
      <c r="D83" s="523"/>
      <c r="E83" s="523" t="s">
        <v>621</v>
      </c>
      <c r="F83" s="523"/>
      <c r="G83" s="524"/>
    </row>
    <row r="84" spans="1:8">
      <c r="A84" s="523"/>
      <c r="B84" s="523"/>
      <c r="C84" s="523"/>
      <c r="D84" s="523"/>
      <c r="E84" s="523"/>
      <c r="F84" s="523" t="s">
        <v>738</v>
      </c>
      <c r="G84" s="706">
        <f>VLOOKUP(F84,'mayor jun2016'!F:G,2,FALSE)</f>
        <v>2711.66</v>
      </c>
      <c r="H84" s="710" t="s">
        <v>38</v>
      </c>
    </row>
    <row r="85" spans="1:8">
      <c r="A85" s="523"/>
      <c r="B85" s="523"/>
      <c r="C85" s="523"/>
      <c r="D85" s="523"/>
      <c r="E85" s="523"/>
      <c r="F85" s="523" t="s">
        <v>622</v>
      </c>
      <c r="G85" s="706">
        <f>VLOOKUP(F85,'mayor jun2016'!F:G,2,FALSE)</f>
        <v>21.6</v>
      </c>
      <c r="H85" t="s">
        <v>38</v>
      </c>
    </row>
    <row r="86" spans="1:8" ht="15.75" thickBot="1">
      <c r="A86" s="523"/>
      <c r="B86" s="523"/>
      <c r="C86" s="523"/>
      <c r="D86" s="523"/>
      <c r="E86" s="523"/>
      <c r="F86" s="523" t="s">
        <v>623</v>
      </c>
      <c r="G86" s="707">
        <f>VLOOKUP(F86,'mayor jun2016'!F:G,2,FALSE)</f>
        <v>30000</v>
      </c>
      <c r="H86" t="s">
        <v>37</v>
      </c>
    </row>
    <row r="87" spans="1:8">
      <c r="A87" s="523"/>
      <c r="B87" s="523"/>
      <c r="C87" s="523"/>
      <c r="D87" s="523"/>
      <c r="E87" s="523" t="s">
        <v>624</v>
      </c>
      <c r="F87" s="523"/>
      <c r="G87" s="524">
        <f>ROUND(SUM(G83:G86),5)</f>
        <v>32733.26</v>
      </c>
    </row>
    <row r="88" spans="1:8">
      <c r="A88" s="523"/>
      <c r="B88" s="523"/>
      <c r="C88" s="523"/>
      <c r="D88" s="523"/>
      <c r="E88" s="523" t="s">
        <v>625</v>
      </c>
      <c r="F88" s="523"/>
      <c r="G88" s="524"/>
    </row>
    <row r="89" spans="1:8">
      <c r="A89" s="523"/>
      <c r="B89" s="523"/>
      <c r="C89" s="523"/>
      <c r="D89" s="523"/>
      <c r="E89" s="523"/>
      <c r="F89" s="523" t="s">
        <v>626</v>
      </c>
      <c r="G89" s="706">
        <f>VLOOKUP(F89,'mayor jun2016'!F:G,2,FALSE)</f>
        <v>5000</v>
      </c>
      <c r="H89" t="s">
        <v>38</v>
      </c>
    </row>
    <row r="90" spans="1:8" ht="15.75" thickBot="1">
      <c r="A90" s="523"/>
      <c r="B90" s="523"/>
      <c r="C90" s="523"/>
      <c r="D90" s="523"/>
      <c r="E90" s="523"/>
      <c r="F90" s="523" t="s">
        <v>627</v>
      </c>
      <c r="G90" s="707">
        <f>VLOOKUP(F90,'mayor jun2016'!F:G,2,FALSE)</f>
        <v>49999.97</v>
      </c>
      <c r="H90" t="s">
        <v>38</v>
      </c>
    </row>
    <row r="91" spans="1:8">
      <c r="A91" s="523"/>
      <c r="B91" s="523"/>
      <c r="C91" s="523"/>
      <c r="D91" s="523"/>
      <c r="E91" s="523" t="s">
        <v>628</v>
      </c>
      <c r="F91" s="523"/>
      <c r="G91" s="524">
        <f>ROUND(SUM(G88:G90),5)</f>
        <v>54999.97</v>
      </c>
    </row>
    <row r="92" spans="1:8">
      <c r="A92" s="523"/>
      <c r="B92" s="523"/>
      <c r="C92" s="523"/>
      <c r="D92" s="523"/>
      <c r="E92" s="523" t="s">
        <v>629</v>
      </c>
      <c r="F92" s="523"/>
      <c r="G92" s="524"/>
    </row>
    <row r="93" spans="1:8" ht="15.75" thickBot="1">
      <c r="A93" s="523"/>
      <c r="B93" s="523"/>
      <c r="C93" s="523"/>
      <c r="D93" s="523"/>
      <c r="E93" s="523"/>
      <c r="F93" s="523" t="s">
        <v>630</v>
      </c>
      <c r="G93" s="535">
        <f>VLOOKUP(F93,'mayor jun2016'!F:G,2,FALSE)</f>
        <v>5073.99</v>
      </c>
      <c r="H93" t="s">
        <v>43</v>
      </c>
    </row>
    <row r="94" spans="1:8">
      <c r="A94" s="523"/>
      <c r="B94" s="523"/>
      <c r="C94" s="523"/>
      <c r="D94" s="523"/>
      <c r="E94" s="523" t="s">
        <v>631</v>
      </c>
      <c r="F94" s="523"/>
      <c r="G94" s="524">
        <f>ROUND(SUM(G92:G93),5)</f>
        <v>5073.99</v>
      </c>
    </row>
    <row r="95" spans="1:8">
      <c r="A95" s="523"/>
      <c r="B95" s="523"/>
      <c r="C95" s="523"/>
      <c r="D95" s="523"/>
      <c r="E95" s="523" t="s">
        <v>632</v>
      </c>
      <c r="F95" s="523"/>
      <c r="G95" s="524"/>
    </row>
    <row r="96" spans="1:8">
      <c r="A96" s="523"/>
      <c r="B96" s="523"/>
      <c r="C96" s="523"/>
      <c r="D96" s="523"/>
      <c r="E96" s="523"/>
      <c r="F96" s="523" t="s">
        <v>633</v>
      </c>
      <c r="G96" s="536">
        <f>VLOOKUP(F96,'mayor jun2016'!F:G,2,FALSE)</f>
        <v>1125</v>
      </c>
      <c r="H96" t="s">
        <v>43</v>
      </c>
    </row>
    <row r="97" spans="1:8" ht="15.75" thickBot="1">
      <c r="A97" s="523"/>
      <c r="B97" s="523"/>
      <c r="C97" s="523"/>
      <c r="D97" s="523"/>
      <c r="E97" s="523"/>
      <c r="F97" s="523" t="s">
        <v>739</v>
      </c>
      <c r="G97" s="535">
        <f>VLOOKUP(F97,'mayor jun2016'!F:G,2,FALSE)</f>
        <v>578.20000000000005</v>
      </c>
      <c r="H97" s="710" t="s">
        <v>273</v>
      </c>
    </row>
    <row r="98" spans="1:8">
      <c r="A98" s="523"/>
      <c r="B98" s="523"/>
      <c r="C98" s="523"/>
      <c r="D98" s="523"/>
      <c r="E98" s="523" t="s">
        <v>634</v>
      </c>
      <c r="F98" s="523"/>
      <c r="G98" s="524">
        <f>ROUND(SUM(G95:G97),5)</f>
        <v>1703.2</v>
      </c>
    </row>
    <row r="99" spans="1:8">
      <c r="A99" s="523"/>
      <c r="B99" s="523"/>
      <c r="C99" s="523"/>
      <c r="D99" s="523"/>
      <c r="E99" s="523" t="s">
        <v>635</v>
      </c>
      <c r="F99" s="523"/>
      <c r="G99" s="524"/>
    </row>
    <row r="100" spans="1:8" ht="15.75" thickBot="1">
      <c r="A100" s="523"/>
      <c r="B100" s="523"/>
      <c r="C100" s="523"/>
      <c r="D100" s="523"/>
      <c r="E100" s="523"/>
      <c r="F100" s="523" t="s">
        <v>636</v>
      </c>
      <c r="G100" s="707">
        <f>VLOOKUP(F100,'mayor jun2016'!F:G,2,FALSE)</f>
        <v>153564.13</v>
      </c>
      <c r="H100" t="s">
        <v>40</v>
      </c>
    </row>
    <row r="101" spans="1:8">
      <c r="A101" s="523"/>
      <c r="B101" s="523"/>
      <c r="C101" s="523"/>
      <c r="D101" s="523"/>
      <c r="E101" s="523" t="s">
        <v>637</v>
      </c>
      <c r="F101" s="523"/>
      <c r="G101" s="524">
        <f>ROUND(SUM(G99:G100),5)</f>
        <v>153564.13</v>
      </c>
    </row>
    <row r="102" spans="1:8">
      <c r="A102" s="523"/>
      <c r="B102" s="523"/>
      <c r="C102" s="523"/>
      <c r="D102" s="523"/>
      <c r="E102" s="523" t="s">
        <v>638</v>
      </c>
      <c r="F102" s="523"/>
      <c r="G102" s="524"/>
    </row>
    <row r="103" spans="1:8" ht="15.75" thickBot="1">
      <c r="A103" s="523"/>
      <c r="B103" s="523"/>
      <c r="C103" s="523"/>
      <c r="D103" s="523"/>
      <c r="E103" s="523"/>
      <c r="F103" s="523" t="s">
        <v>639</v>
      </c>
      <c r="G103" s="540">
        <f>VLOOKUP(F103,'mayor jun2016'!F:G,2,FALSE)</f>
        <v>300.29000000000002</v>
      </c>
      <c r="H103" t="s">
        <v>43</v>
      </c>
    </row>
    <row r="104" spans="1:8">
      <c r="A104" s="523"/>
      <c r="B104" s="523"/>
      <c r="C104" s="523"/>
      <c r="D104" s="523"/>
      <c r="E104" s="523" t="s">
        <v>640</v>
      </c>
      <c r="F104" s="523"/>
      <c r="G104" s="524">
        <f>ROUND(SUM(G102:G103),5)</f>
        <v>300.29000000000002</v>
      </c>
    </row>
    <row r="105" spans="1:8">
      <c r="A105" s="523"/>
      <c r="B105" s="523"/>
      <c r="C105" s="523"/>
      <c r="D105" s="523"/>
      <c r="E105" s="523" t="s">
        <v>641</v>
      </c>
      <c r="F105" s="523"/>
      <c r="G105" s="524"/>
    </row>
    <row r="106" spans="1:8" ht="15.75" thickBot="1">
      <c r="A106" s="523"/>
      <c r="B106" s="523"/>
      <c r="C106" s="523"/>
      <c r="D106" s="523"/>
      <c r="E106" s="523"/>
      <c r="F106" s="523" t="s">
        <v>642</v>
      </c>
      <c r="G106" s="540">
        <f>VLOOKUP(F106,'mayor jun2016'!F:G,2,FALSE)</f>
        <v>982.9</v>
      </c>
      <c r="H106" t="s">
        <v>43</v>
      </c>
    </row>
    <row r="107" spans="1:8">
      <c r="A107" s="523"/>
      <c r="B107" s="523"/>
      <c r="C107" s="523"/>
      <c r="D107" s="523"/>
      <c r="E107" s="523" t="s">
        <v>643</v>
      </c>
      <c r="F107" s="523"/>
      <c r="G107" s="524">
        <f>ROUND(SUM(G105:G106),5)</f>
        <v>982.9</v>
      </c>
    </row>
    <row r="108" spans="1:8">
      <c r="A108" s="523"/>
      <c r="B108" s="523"/>
      <c r="C108" s="523"/>
      <c r="D108" s="523"/>
      <c r="E108" s="523" t="s">
        <v>644</v>
      </c>
      <c r="F108" s="523"/>
      <c r="G108" s="524"/>
    </row>
    <row r="109" spans="1:8">
      <c r="A109" s="523"/>
      <c r="B109" s="523"/>
      <c r="C109" s="523"/>
      <c r="D109" s="523"/>
      <c r="E109" s="523"/>
      <c r="F109" s="523" t="s">
        <v>645</v>
      </c>
      <c r="G109" s="539">
        <f>VLOOKUP(F109,'mayor jun2016'!F:G,2,FALSE)</f>
        <v>821.09</v>
      </c>
      <c r="H109" t="s">
        <v>43</v>
      </c>
    </row>
    <row r="110" spans="1:8">
      <c r="A110" s="523"/>
      <c r="B110" s="523"/>
      <c r="C110" s="523"/>
      <c r="D110" s="523"/>
      <c r="E110" s="523"/>
      <c r="F110" s="523" t="s">
        <v>646</v>
      </c>
      <c r="G110" s="706">
        <f>VLOOKUP(F110,'mayor jun2016'!F:G,2,FALSE)</f>
        <v>12607.57</v>
      </c>
      <c r="H110" t="s">
        <v>39</v>
      </c>
    </row>
    <row r="111" spans="1:8">
      <c r="A111" s="523"/>
      <c r="B111" s="523"/>
      <c r="C111" s="523"/>
      <c r="D111" s="523"/>
      <c r="E111" s="523"/>
      <c r="F111" s="523" t="s">
        <v>647</v>
      </c>
      <c r="G111" s="539">
        <f>VLOOKUP(F111,'mayor jun2016'!F:G,2,FALSE)</f>
        <v>3977.12</v>
      </c>
      <c r="H111" t="s">
        <v>43</v>
      </c>
    </row>
    <row r="112" spans="1:8">
      <c r="A112" s="523"/>
      <c r="B112" s="523"/>
      <c r="C112" s="523"/>
      <c r="D112" s="523"/>
      <c r="E112" s="523"/>
      <c r="F112" s="523" t="s">
        <v>648</v>
      </c>
      <c r="G112" s="539">
        <f>VLOOKUP(F112,'mayor jun2016'!F:G,2,FALSE)</f>
        <v>1840</v>
      </c>
      <c r="H112" t="s">
        <v>43</v>
      </c>
    </row>
    <row r="113" spans="1:8">
      <c r="A113" s="523"/>
      <c r="B113" s="523"/>
      <c r="C113" s="523"/>
      <c r="D113" s="523"/>
      <c r="E113" s="523"/>
      <c r="F113" s="523" t="s">
        <v>649</v>
      </c>
      <c r="G113" s="706">
        <f>VLOOKUP(F113,'mayor jun2016'!F:G,2,FALSE)</f>
        <v>15880.68</v>
      </c>
      <c r="H113" t="s">
        <v>42</v>
      </c>
    </row>
    <row r="114" spans="1:8">
      <c r="A114" s="523"/>
      <c r="B114" s="523"/>
      <c r="C114" s="523"/>
      <c r="D114" s="523"/>
      <c r="E114" s="523"/>
      <c r="F114" s="523" t="s">
        <v>650</v>
      </c>
      <c r="G114" s="706">
        <f>VLOOKUP(F114,'mayor jun2016'!F:G,2,FALSE)</f>
        <v>892.38</v>
      </c>
      <c r="H114" t="s">
        <v>43</v>
      </c>
    </row>
    <row r="115" spans="1:8">
      <c r="A115" s="523"/>
      <c r="B115" s="523"/>
      <c r="C115" s="523"/>
      <c r="D115" s="523"/>
      <c r="E115" s="523"/>
      <c r="F115" s="523" t="s">
        <v>651</v>
      </c>
      <c r="G115" s="539">
        <f>VLOOKUP(F115,'mayor jun2016'!F:G,2,FALSE)</f>
        <v>5548.38</v>
      </c>
      <c r="H115" t="s">
        <v>43</v>
      </c>
    </row>
    <row r="116" spans="1:8">
      <c r="A116" s="523"/>
      <c r="B116" s="523"/>
      <c r="C116" s="523"/>
      <c r="D116" s="523"/>
      <c r="E116" s="523"/>
      <c r="F116" s="523" t="s">
        <v>652</v>
      </c>
      <c r="G116" s="539">
        <f>VLOOKUP(F116,'mayor jun2016'!F:G,2,FALSE)</f>
        <v>690</v>
      </c>
      <c r="H116" t="s">
        <v>43</v>
      </c>
    </row>
    <row r="117" spans="1:8">
      <c r="A117" s="523"/>
      <c r="B117" s="523"/>
      <c r="C117" s="523"/>
      <c r="D117" s="523"/>
      <c r="E117" s="523"/>
      <c r="F117" s="523" t="s">
        <v>653</v>
      </c>
      <c r="G117" s="706">
        <f>VLOOKUP(F117,'mayor jun2016'!F:G,2,FALSE)</f>
        <v>57876.71</v>
      </c>
      <c r="H117" t="s">
        <v>42</v>
      </c>
    </row>
    <row r="118" spans="1:8">
      <c r="A118" s="523"/>
      <c r="B118" s="523"/>
      <c r="C118" s="523"/>
      <c r="D118" s="523"/>
      <c r="E118" s="523"/>
      <c r="F118" s="523" t="s">
        <v>654</v>
      </c>
      <c r="G118" s="536">
        <f>VLOOKUP(F118,'mayor jun2016'!F:G,2,FALSE)</f>
        <v>802.61</v>
      </c>
      <c r="H118" t="s">
        <v>43</v>
      </c>
    </row>
    <row r="119" spans="1:8" ht="15.75" thickBot="1">
      <c r="A119" s="523"/>
      <c r="B119" s="523"/>
      <c r="C119" s="523"/>
      <c r="D119" s="523"/>
      <c r="E119" s="523"/>
      <c r="F119" s="523" t="s">
        <v>655</v>
      </c>
      <c r="G119" s="540">
        <f>VLOOKUP(F119,'mayor jun2016'!F:G,2,FALSE)</f>
        <v>3250</v>
      </c>
      <c r="H119" t="s">
        <v>43</v>
      </c>
    </row>
    <row r="120" spans="1:8" ht="15.75" thickBot="1">
      <c r="A120" s="523"/>
      <c r="B120" s="523"/>
      <c r="C120" s="523"/>
      <c r="D120" s="523"/>
      <c r="E120" s="523" t="s">
        <v>656</v>
      </c>
      <c r="F120" s="523"/>
      <c r="G120" s="526">
        <f>ROUND(SUM(G108:G119),5)</f>
        <v>104186.54</v>
      </c>
    </row>
    <row r="121" spans="1:8" ht="15.75" thickBot="1">
      <c r="A121" s="523"/>
      <c r="B121" s="523"/>
      <c r="C121" s="523"/>
      <c r="D121" s="523" t="s">
        <v>657</v>
      </c>
      <c r="E121" s="523"/>
      <c r="F121" s="523"/>
      <c r="G121" s="526">
        <f>ROUND(G42+G49+G63+G69+G74+G79+G82+G87+G91+G94+G98+G101+G104+G107+G120,5)</f>
        <v>2054701.24</v>
      </c>
    </row>
    <row r="122" spans="1:8" ht="15.75" thickBot="1">
      <c r="A122" s="523"/>
      <c r="B122" s="523" t="s">
        <v>658</v>
      </c>
      <c r="C122" s="523"/>
      <c r="D122" s="523"/>
      <c r="E122" s="523"/>
      <c r="F122" s="523"/>
      <c r="G122" s="526">
        <f>ROUND(G5+G41-G121,5)</f>
        <v>-86180.55</v>
      </c>
    </row>
    <row r="123" spans="1:8" s="530" customFormat="1" ht="12" thickBot="1">
      <c r="A123" s="523" t="s">
        <v>659</v>
      </c>
      <c r="B123" s="523"/>
      <c r="C123" s="523"/>
      <c r="D123" s="523"/>
      <c r="E123" s="523"/>
      <c r="F123" s="523"/>
      <c r="G123" s="529">
        <f>G122</f>
        <v>-86180.55</v>
      </c>
    </row>
    <row r="124" spans="1:8" ht="15.75" thickTop="1"/>
  </sheetData>
  <pageMargins left="0.7" right="0.7" top="0.75" bottom="0.75" header="0.3" footer="0.3"/>
  <pageSetup paperSize="0" orientation="portrait" horizontalDpi="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124"/>
  <sheetViews>
    <sheetView topLeftCell="A10" workbookViewId="0">
      <selection activeCell="F21" sqref="F21"/>
    </sheetView>
  </sheetViews>
  <sheetFormatPr baseColWidth="10" defaultColWidth="11.42578125" defaultRowHeight="15"/>
  <cols>
    <col min="1" max="5" width="3" style="531" customWidth="1"/>
    <col min="6" max="6" width="83.140625" style="531" customWidth="1"/>
    <col min="7" max="7" width="11.5703125" style="532" bestFit="1" customWidth="1"/>
  </cols>
  <sheetData>
    <row r="1" spans="1:7" ht="15.75">
      <c r="A1" s="514" t="s">
        <v>462</v>
      </c>
      <c r="B1" s="515"/>
      <c r="C1" s="515"/>
      <c r="D1" s="515"/>
      <c r="E1" s="515"/>
      <c r="F1" s="515"/>
      <c r="G1" s="516"/>
    </row>
    <row r="2" spans="1:7" ht="18">
      <c r="A2" s="517" t="s">
        <v>540</v>
      </c>
      <c r="B2" s="515"/>
      <c r="C2" s="515"/>
      <c r="D2" s="515"/>
      <c r="E2" s="515"/>
      <c r="F2" s="515"/>
      <c r="G2" s="518"/>
    </row>
    <row r="3" spans="1:7">
      <c r="A3" s="519" t="s">
        <v>735</v>
      </c>
      <c r="B3" s="515"/>
      <c r="C3" s="515"/>
      <c r="D3" s="515"/>
      <c r="E3" s="515"/>
      <c r="F3" s="515"/>
      <c r="G3" s="516"/>
    </row>
    <row r="4" spans="1:7" s="522" customFormat="1" ht="15.75" thickBot="1">
      <c r="A4" s="520"/>
      <c r="B4" s="520"/>
      <c r="C4" s="520"/>
      <c r="D4" s="520"/>
      <c r="E4" s="520"/>
      <c r="F4" s="520"/>
      <c r="G4" s="521" t="s">
        <v>736</v>
      </c>
    </row>
    <row r="5" spans="1:7" ht="15.75" thickTop="1">
      <c r="A5" s="523"/>
      <c r="B5" s="523" t="s">
        <v>543</v>
      </c>
      <c r="C5" s="523"/>
      <c r="D5" s="523"/>
      <c r="E5" s="523"/>
      <c r="F5" s="523"/>
      <c r="G5" s="524"/>
    </row>
    <row r="6" spans="1:7">
      <c r="A6" s="523"/>
      <c r="B6" s="523"/>
      <c r="C6" s="523"/>
      <c r="D6" s="523" t="s">
        <v>544</v>
      </c>
      <c r="E6" s="523"/>
      <c r="F6" s="523"/>
      <c r="G6" s="524"/>
    </row>
    <row r="7" spans="1:7">
      <c r="A7" s="523"/>
      <c r="B7" s="523"/>
      <c r="C7" s="523"/>
      <c r="D7" s="523"/>
      <c r="E7" s="523" t="s">
        <v>545</v>
      </c>
      <c r="F7" s="523"/>
      <c r="G7" s="524"/>
    </row>
    <row r="8" spans="1:7">
      <c r="A8" s="523"/>
      <c r="B8" s="523"/>
      <c r="C8" s="523"/>
      <c r="D8" s="523"/>
      <c r="E8" s="523"/>
      <c r="F8" s="523" t="s">
        <v>546</v>
      </c>
      <c r="G8" s="524">
        <v>619898.53</v>
      </c>
    </row>
    <row r="9" spans="1:7">
      <c r="A9" s="523"/>
      <c r="B9" s="523"/>
      <c r="C9" s="523"/>
      <c r="D9" s="523"/>
      <c r="E9" s="523"/>
      <c r="F9" s="523" t="s">
        <v>547</v>
      </c>
      <c r="G9" s="524">
        <v>0</v>
      </c>
    </row>
    <row r="10" spans="1:7">
      <c r="A10" s="523"/>
      <c r="B10" s="523"/>
      <c r="C10" s="523"/>
      <c r="D10" s="523"/>
      <c r="E10" s="523"/>
      <c r="F10" s="523" t="s">
        <v>548</v>
      </c>
      <c r="G10" s="524">
        <v>273013.15000000002</v>
      </c>
    </row>
    <row r="11" spans="1:7">
      <c r="A11" s="523"/>
      <c r="B11" s="523"/>
      <c r="C11" s="523"/>
      <c r="D11" s="523"/>
      <c r="E11" s="523"/>
      <c r="F11" s="523" t="s">
        <v>549</v>
      </c>
      <c r="G11" s="524">
        <v>71844.460000000006</v>
      </c>
    </row>
    <row r="12" spans="1:7">
      <c r="A12" s="523"/>
      <c r="B12" s="523"/>
      <c r="C12" s="523"/>
      <c r="D12" s="523"/>
      <c r="E12" s="523"/>
      <c r="F12" s="523" t="s">
        <v>550</v>
      </c>
      <c r="G12" s="524">
        <v>408856.11</v>
      </c>
    </row>
    <row r="13" spans="1:7">
      <c r="A13" s="523"/>
      <c r="B13" s="523"/>
      <c r="C13" s="523"/>
      <c r="D13" s="523"/>
      <c r="E13" s="523"/>
      <c r="F13" s="523" t="s">
        <v>551</v>
      </c>
      <c r="G13" s="524">
        <v>85950.54</v>
      </c>
    </row>
    <row r="14" spans="1:7">
      <c r="A14" s="523"/>
      <c r="B14" s="523"/>
      <c r="C14" s="523"/>
      <c r="D14" s="523"/>
      <c r="E14" s="523"/>
      <c r="F14" s="523" t="s">
        <v>553</v>
      </c>
      <c r="G14" s="524">
        <v>38053.17</v>
      </c>
    </row>
    <row r="15" spans="1:7" ht="15.75" thickBot="1">
      <c r="A15" s="523"/>
      <c r="B15" s="523"/>
      <c r="C15" s="523"/>
      <c r="D15" s="523"/>
      <c r="E15" s="523"/>
      <c r="F15" s="523" t="s">
        <v>554</v>
      </c>
      <c r="G15" s="525">
        <v>25676</v>
      </c>
    </row>
    <row r="16" spans="1:7">
      <c r="A16" s="523"/>
      <c r="B16" s="523"/>
      <c r="C16" s="523"/>
      <c r="D16" s="523"/>
      <c r="E16" s="523" t="s">
        <v>555</v>
      </c>
      <c r="F16" s="523"/>
      <c r="G16" s="524">
        <f>ROUND(SUM(G7:G15),5)</f>
        <v>1523291.96</v>
      </c>
    </row>
    <row r="17" spans="1:7" ht="30" customHeight="1">
      <c r="A17" s="523"/>
      <c r="B17" s="523"/>
      <c r="C17" s="523"/>
      <c r="D17" s="523"/>
      <c r="E17" s="523" t="s">
        <v>556</v>
      </c>
      <c r="F17" s="523"/>
      <c r="G17" s="524"/>
    </row>
    <row r="18" spans="1:7" ht="15.75" thickBot="1">
      <c r="A18" s="523"/>
      <c r="B18" s="523"/>
      <c r="C18" s="523"/>
      <c r="D18" s="523"/>
      <c r="E18" s="523"/>
      <c r="F18" s="523" t="s">
        <v>557</v>
      </c>
      <c r="G18" s="525">
        <v>210709.4</v>
      </c>
    </row>
    <row r="19" spans="1:7">
      <c r="A19" s="523"/>
      <c r="B19" s="523"/>
      <c r="C19" s="523"/>
      <c r="D19" s="523"/>
      <c r="E19" s="523" t="s">
        <v>558</v>
      </c>
      <c r="F19" s="523"/>
      <c r="G19" s="524">
        <f>ROUND(SUM(G17:G18),5)</f>
        <v>210709.4</v>
      </c>
    </row>
    <row r="20" spans="1:7" ht="30" customHeight="1">
      <c r="A20" s="523"/>
      <c r="B20" s="523"/>
      <c r="C20" s="523"/>
      <c r="D20" s="523"/>
      <c r="E20" s="523" t="s">
        <v>559</v>
      </c>
      <c r="F20" s="523"/>
      <c r="G20" s="524"/>
    </row>
    <row r="21" spans="1:7" ht="15.75" thickBot="1">
      <c r="A21" s="523"/>
      <c r="B21" s="523"/>
      <c r="C21" s="523"/>
      <c r="D21" s="523"/>
      <c r="E21" s="523"/>
      <c r="F21" s="523" t="s">
        <v>560</v>
      </c>
      <c r="G21" s="525">
        <v>102.8</v>
      </c>
    </row>
    <row r="22" spans="1:7">
      <c r="A22" s="523"/>
      <c r="B22" s="523"/>
      <c r="C22" s="523"/>
      <c r="D22" s="523"/>
      <c r="E22" s="523" t="s">
        <v>561</v>
      </c>
      <c r="F22" s="523"/>
      <c r="G22" s="524">
        <f>ROUND(SUM(G20:G21),5)</f>
        <v>102.8</v>
      </c>
    </row>
    <row r="23" spans="1:7" ht="30" customHeight="1">
      <c r="A23" s="523"/>
      <c r="B23" s="523"/>
      <c r="C23" s="523"/>
      <c r="D23" s="523"/>
      <c r="E23" s="523" t="s">
        <v>562</v>
      </c>
      <c r="F23" s="523"/>
      <c r="G23" s="524"/>
    </row>
    <row r="24" spans="1:7">
      <c r="A24" s="523"/>
      <c r="B24" s="523"/>
      <c r="C24" s="523"/>
      <c r="D24" s="523"/>
      <c r="E24" s="523"/>
      <c r="F24" s="523" t="s">
        <v>563</v>
      </c>
      <c r="G24" s="524">
        <v>-4067.97</v>
      </c>
    </row>
    <row r="25" spans="1:7">
      <c r="A25" s="523"/>
      <c r="B25" s="523"/>
      <c r="C25" s="523"/>
      <c r="D25" s="523"/>
      <c r="E25" s="523"/>
      <c r="F25" s="523" t="s">
        <v>564</v>
      </c>
      <c r="G25" s="524">
        <v>0</v>
      </c>
    </row>
    <row r="26" spans="1:7">
      <c r="A26" s="523"/>
      <c r="B26" s="523"/>
      <c r="C26" s="523"/>
      <c r="D26" s="523"/>
      <c r="E26" s="523"/>
      <c r="F26" s="523" t="s">
        <v>565</v>
      </c>
      <c r="G26" s="524">
        <v>10269.81</v>
      </c>
    </row>
    <row r="27" spans="1:7">
      <c r="A27" s="523"/>
      <c r="B27" s="523"/>
      <c r="C27" s="523"/>
      <c r="D27" s="523"/>
      <c r="E27" s="523"/>
      <c r="F27" s="523" t="s">
        <v>566</v>
      </c>
      <c r="G27" s="524">
        <v>1610</v>
      </c>
    </row>
    <row r="28" spans="1:7">
      <c r="A28" s="523"/>
      <c r="B28" s="523"/>
      <c r="C28" s="523"/>
      <c r="D28" s="523"/>
      <c r="E28" s="523"/>
      <c r="F28" s="523" t="s">
        <v>567</v>
      </c>
      <c r="G28" s="524">
        <v>7485.15</v>
      </c>
    </row>
    <row r="29" spans="1:7">
      <c r="A29" s="523"/>
      <c r="B29" s="523"/>
      <c r="C29" s="523"/>
      <c r="D29" s="523"/>
      <c r="E29" s="523"/>
      <c r="F29" s="523" t="s">
        <v>568</v>
      </c>
      <c r="G29" s="524">
        <v>24696.71</v>
      </c>
    </row>
    <row r="30" spans="1:7">
      <c r="A30" s="523"/>
      <c r="B30" s="523"/>
      <c r="C30" s="523"/>
      <c r="D30" s="523"/>
      <c r="E30" s="523"/>
      <c r="F30" s="523" t="s">
        <v>569</v>
      </c>
      <c r="G30" s="524">
        <v>-2583.9499999999998</v>
      </c>
    </row>
    <row r="31" spans="1:7" ht="15.75" thickBot="1">
      <c r="A31" s="523"/>
      <c r="B31" s="523"/>
      <c r="C31" s="523"/>
      <c r="D31" s="523"/>
      <c r="E31" s="523"/>
      <c r="F31" s="523" t="s">
        <v>570</v>
      </c>
      <c r="G31" s="525">
        <v>126901.38</v>
      </c>
    </row>
    <row r="32" spans="1:7">
      <c r="A32" s="523"/>
      <c r="B32" s="523"/>
      <c r="C32" s="523"/>
      <c r="D32" s="523"/>
      <c r="E32" s="523" t="s">
        <v>571</v>
      </c>
      <c r="F32" s="523"/>
      <c r="G32" s="524">
        <f>ROUND(SUM(G23:G31),5)</f>
        <v>164311.13</v>
      </c>
    </row>
    <row r="33" spans="1:7" ht="30" customHeight="1">
      <c r="A33" s="523"/>
      <c r="B33" s="523"/>
      <c r="C33" s="523"/>
      <c r="D33" s="523"/>
      <c r="E33" s="523" t="s">
        <v>572</v>
      </c>
      <c r="F33" s="523"/>
      <c r="G33" s="524"/>
    </row>
    <row r="34" spans="1:7">
      <c r="A34" s="523"/>
      <c r="B34" s="523"/>
      <c r="C34" s="523"/>
      <c r="D34" s="523"/>
      <c r="E34" s="523"/>
      <c r="F34" s="523" t="s">
        <v>573</v>
      </c>
      <c r="G34" s="524">
        <v>11051.33</v>
      </c>
    </row>
    <row r="35" spans="1:7">
      <c r="A35" s="523"/>
      <c r="B35" s="523"/>
      <c r="C35" s="523"/>
      <c r="D35" s="523"/>
      <c r="E35" s="523"/>
      <c r="F35" s="713" t="s">
        <v>574</v>
      </c>
      <c r="G35" s="714">
        <v>50091.5</v>
      </c>
    </row>
    <row r="36" spans="1:7">
      <c r="A36" s="523"/>
      <c r="B36" s="523"/>
      <c r="C36" s="523"/>
      <c r="D36" s="523"/>
      <c r="E36" s="523"/>
      <c r="F36" s="523" t="s">
        <v>575</v>
      </c>
      <c r="G36" s="524">
        <v>5707.98</v>
      </c>
    </row>
    <row r="37" spans="1:7">
      <c r="A37" s="523"/>
      <c r="B37" s="523"/>
      <c r="C37" s="523"/>
      <c r="D37" s="523"/>
      <c r="E37" s="523"/>
      <c r="F37" s="523" t="s">
        <v>576</v>
      </c>
      <c r="G37" s="524">
        <v>104.59</v>
      </c>
    </row>
    <row r="38" spans="1:7" ht="15.75" thickBot="1">
      <c r="A38" s="523"/>
      <c r="B38" s="523"/>
      <c r="C38" s="523"/>
      <c r="D38" s="523"/>
      <c r="E38" s="523"/>
      <c r="F38" s="523" t="s">
        <v>577</v>
      </c>
      <c r="G38" s="705">
        <v>3150</v>
      </c>
    </row>
    <row r="39" spans="1:7" ht="15.75" thickBot="1">
      <c r="A39" s="523"/>
      <c r="B39" s="523"/>
      <c r="C39" s="523"/>
      <c r="D39" s="523"/>
      <c r="E39" s="523" t="s">
        <v>578</v>
      </c>
      <c r="F39" s="523"/>
      <c r="G39" s="526">
        <f>ROUND(SUM(G33:G38),5)</f>
        <v>70105.399999999994</v>
      </c>
    </row>
    <row r="40" spans="1:7" ht="30" customHeight="1" thickBot="1">
      <c r="A40" s="523"/>
      <c r="B40" s="523"/>
      <c r="C40" s="523"/>
      <c r="D40" s="523" t="s">
        <v>579</v>
      </c>
      <c r="E40" s="523"/>
      <c r="F40" s="523"/>
      <c r="G40" s="527">
        <f>ROUND(G6+G16+G19+G22+G32+G39,5)</f>
        <v>1968520.69</v>
      </c>
    </row>
    <row r="41" spans="1:7" ht="30" customHeight="1">
      <c r="A41" s="523"/>
      <c r="B41" s="523"/>
      <c r="C41" s="523" t="s">
        <v>580</v>
      </c>
      <c r="D41" s="523"/>
      <c r="E41" s="523"/>
      <c r="F41" s="523"/>
      <c r="G41" s="524">
        <f>G40</f>
        <v>1968520.69</v>
      </c>
    </row>
    <row r="42" spans="1:7" ht="30" customHeight="1">
      <c r="A42" s="523"/>
      <c r="B42" s="523"/>
      <c r="C42" s="523"/>
      <c r="D42" s="523" t="s">
        <v>581</v>
      </c>
      <c r="E42" s="523"/>
      <c r="F42" s="523"/>
      <c r="G42" s="524"/>
    </row>
    <row r="43" spans="1:7">
      <c r="A43" s="523"/>
      <c r="B43" s="523"/>
      <c r="C43" s="523"/>
      <c r="D43" s="523"/>
      <c r="E43" s="523" t="s">
        <v>582</v>
      </c>
      <c r="F43" s="523"/>
      <c r="G43" s="524"/>
    </row>
    <row r="44" spans="1:7">
      <c r="A44" s="523"/>
      <c r="B44" s="523"/>
      <c r="C44" s="523"/>
      <c r="D44" s="523"/>
      <c r="E44" s="523"/>
      <c r="F44" s="523" t="s">
        <v>583</v>
      </c>
      <c r="G44" s="524">
        <v>8772.86</v>
      </c>
    </row>
    <row r="45" spans="1:7">
      <c r="A45" s="523"/>
      <c r="B45" s="523"/>
      <c r="C45" s="523"/>
      <c r="D45" s="523"/>
      <c r="E45" s="523"/>
      <c r="F45" s="523" t="s">
        <v>584</v>
      </c>
      <c r="G45" s="524">
        <v>3651.26</v>
      </c>
    </row>
    <row r="46" spans="1:7">
      <c r="A46" s="523"/>
      <c r="B46" s="523"/>
      <c r="C46" s="523"/>
      <c r="D46" s="523"/>
      <c r="E46" s="523"/>
      <c r="F46" s="523" t="s">
        <v>585</v>
      </c>
      <c r="G46" s="524">
        <v>1028739.19</v>
      </c>
    </row>
    <row r="47" spans="1:7">
      <c r="A47" s="523"/>
      <c r="B47" s="523"/>
      <c r="C47" s="523"/>
      <c r="D47" s="523"/>
      <c r="E47" s="523"/>
      <c r="F47" s="523" t="s">
        <v>586</v>
      </c>
      <c r="G47" s="524">
        <v>118401.78</v>
      </c>
    </row>
    <row r="48" spans="1:7" ht="15.75" thickBot="1">
      <c r="A48" s="523"/>
      <c r="B48" s="523"/>
      <c r="C48" s="523"/>
      <c r="D48" s="523"/>
      <c r="E48" s="523"/>
      <c r="F48" s="523" t="s">
        <v>587</v>
      </c>
      <c r="G48" s="525">
        <v>4750</v>
      </c>
    </row>
    <row r="49" spans="1:7">
      <c r="A49" s="523"/>
      <c r="B49" s="523"/>
      <c r="C49" s="523"/>
      <c r="D49" s="523"/>
      <c r="E49" s="523" t="s">
        <v>588</v>
      </c>
      <c r="F49" s="523"/>
      <c r="G49" s="524">
        <f>ROUND(SUM(G43:G48),5)</f>
        <v>1164315.0900000001</v>
      </c>
    </row>
    <row r="50" spans="1:7" ht="30" customHeight="1">
      <c r="A50" s="523"/>
      <c r="B50" s="523"/>
      <c r="C50" s="523"/>
      <c r="D50" s="523"/>
      <c r="E50" s="523" t="s">
        <v>589</v>
      </c>
      <c r="F50" s="523"/>
      <c r="G50" s="524"/>
    </row>
    <row r="51" spans="1:7">
      <c r="A51" s="523"/>
      <c r="B51" s="523"/>
      <c r="C51" s="523"/>
      <c r="D51" s="523"/>
      <c r="E51" s="523"/>
      <c r="F51" s="523" t="s">
        <v>590</v>
      </c>
      <c r="G51" s="524">
        <v>163757.04999999999</v>
      </c>
    </row>
    <row r="52" spans="1:7">
      <c r="A52" s="523"/>
      <c r="B52" s="523"/>
      <c r="C52" s="523"/>
      <c r="D52" s="523"/>
      <c r="E52" s="523"/>
      <c r="F52" s="523" t="s">
        <v>591</v>
      </c>
      <c r="G52" s="524">
        <v>68163.47</v>
      </c>
    </row>
    <row r="53" spans="1:7">
      <c r="A53" s="523"/>
      <c r="B53" s="523"/>
      <c r="C53" s="523"/>
      <c r="D53" s="523"/>
      <c r="E53" s="523"/>
      <c r="F53" s="523" t="s">
        <v>592</v>
      </c>
      <c r="G53" s="524">
        <v>22729.17</v>
      </c>
    </row>
    <row r="54" spans="1:7">
      <c r="A54" s="523"/>
      <c r="B54" s="523"/>
      <c r="C54" s="523"/>
      <c r="D54" s="523"/>
      <c r="E54" s="523"/>
      <c r="F54" s="523" t="s">
        <v>593</v>
      </c>
      <c r="G54" s="524">
        <v>79125.320000000007</v>
      </c>
    </row>
    <row r="55" spans="1:7">
      <c r="A55" s="523"/>
      <c r="B55" s="523"/>
      <c r="C55" s="523"/>
      <c r="D55" s="523"/>
      <c r="E55" s="523"/>
      <c r="F55" s="523" t="s">
        <v>594</v>
      </c>
      <c r="G55" s="524">
        <v>4954.16</v>
      </c>
    </row>
    <row r="56" spans="1:7">
      <c r="A56" s="523"/>
      <c r="B56" s="523"/>
      <c r="C56" s="523"/>
      <c r="D56" s="523"/>
      <c r="E56" s="523"/>
      <c r="F56" s="523" t="s">
        <v>595</v>
      </c>
      <c r="G56" s="524">
        <v>784.14</v>
      </c>
    </row>
    <row r="57" spans="1:7">
      <c r="A57" s="523"/>
      <c r="B57" s="523"/>
      <c r="C57" s="523"/>
      <c r="D57" s="523"/>
      <c r="E57" s="523"/>
      <c r="F57" s="523" t="s">
        <v>596</v>
      </c>
      <c r="G57" s="524">
        <v>53668.14</v>
      </c>
    </row>
    <row r="58" spans="1:7">
      <c r="A58" s="523"/>
      <c r="B58" s="523"/>
      <c r="C58" s="523"/>
      <c r="D58" s="523"/>
      <c r="E58" s="523"/>
      <c r="F58" s="523" t="s">
        <v>597</v>
      </c>
      <c r="G58" s="524">
        <v>39422.339999999997</v>
      </c>
    </row>
    <row r="59" spans="1:7">
      <c r="A59" s="523"/>
      <c r="B59" s="523"/>
      <c r="C59" s="523"/>
      <c r="D59" s="523"/>
      <c r="E59" s="523"/>
      <c r="F59" s="523" t="s">
        <v>598</v>
      </c>
      <c r="G59" s="524">
        <v>2690.57</v>
      </c>
    </row>
    <row r="60" spans="1:7">
      <c r="A60" s="523"/>
      <c r="B60" s="523"/>
      <c r="C60" s="523"/>
      <c r="D60" s="523"/>
      <c r="E60" s="523"/>
      <c r="F60" s="523" t="s">
        <v>599</v>
      </c>
      <c r="G60" s="524">
        <v>3021.91</v>
      </c>
    </row>
    <row r="61" spans="1:7">
      <c r="A61" s="523"/>
      <c r="B61" s="523"/>
      <c r="C61" s="523"/>
      <c r="D61" s="523"/>
      <c r="E61" s="523"/>
      <c r="F61" s="523" t="s">
        <v>600</v>
      </c>
      <c r="G61" s="524">
        <v>17411</v>
      </c>
    </row>
    <row r="62" spans="1:7" ht="15.75" thickBot="1">
      <c r="A62" s="523"/>
      <c r="B62" s="523"/>
      <c r="C62" s="523"/>
      <c r="D62" s="523"/>
      <c r="E62" s="523"/>
      <c r="F62" s="523" t="s">
        <v>601</v>
      </c>
      <c r="G62" s="525">
        <v>8057.48</v>
      </c>
    </row>
    <row r="63" spans="1:7">
      <c r="A63" s="523"/>
      <c r="B63" s="523"/>
      <c r="C63" s="523"/>
      <c r="D63" s="523"/>
      <c r="E63" s="523" t="s">
        <v>602</v>
      </c>
      <c r="F63" s="523"/>
      <c r="G63" s="524">
        <f>ROUND(SUM(G50:G62),5)</f>
        <v>463784.75</v>
      </c>
    </row>
    <row r="64" spans="1:7" ht="30" customHeight="1">
      <c r="A64" s="523"/>
      <c r="B64" s="523"/>
      <c r="C64" s="523"/>
      <c r="D64" s="523"/>
      <c r="E64" s="523" t="s">
        <v>603</v>
      </c>
      <c r="F64" s="523"/>
      <c r="G64" s="524"/>
    </row>
    <row r="65" spans="1:7">
      <c r="A65" s="523"/>
      <c r="B65" s="523"/>
      <c r="C65" s="523"/>
      <c r="D65" s="523"/>
      <c r="E65" s="523"/>
      <c r="F65" s="523" t="s">
        <v>737</v>
      </c>
      <c r="G65" s="524">
        <v>1550</v>
      </c>
    </row>
    <row r="66" spans="1:7">
      <c r="A66" s="523"/>
      <c r="B66" s="523"/>
      <c r="C66" s="523"/>
      <c r="D66" s="523"/>
      <c r="E66" s="523"/>
      <c r="F66" s="523" t="s">
        <v>604</v>
      </c>
      <c r="G66" s="524">
        <v>6918</v>
      </c>
    </row>
    <row r="67" spans="1:7">
      <c r="A67" s="523"/>
      <c r="B67" s="523"/>
      <c r="C67" s="523"/>
      <c r="D67" s="523"/>
      <c r="E67" s="523"/>
      <c r="F67" s="523" t="s">
        <v>605</v>
      </c>
      <c r="G67" s="524">
        <v>651.52</v>
      </c>
    </row>
    <row r="68" spans="1:7" ht="15.75" thickBot="1">
      <c r="A68" s="523"/>
      <c r="B68" s="523"/>
      <c r="C68" s="523"/>
      <c r="D68" s="523"/>
      <c r="E68" s="523"/>
      <c r="F68" s="523" t="s">
        <v>606</v>
      </c>
      <c r="G68" s="525">
        <v>8640.5</v>
      </c>
    </row>
    <row r="69" spans="1:7">
      <c r="A69" s="523"/>
      <c r="B69" s="523"/>
      <c r="C69" s="523"/>
      <c r="D69" s="523"/>
      <c r="E69" s="523" t="s">
        <v>607</v>
      </c>
      <c r="F69" s="523"/>
      <c r="G69" s="524">
        <f>ROUND(SUM(G64:G68),5)</f>
        <v>17760.02</v>
      </c>
    </row>
    <row r="70" spans="1:7" ht="30" customHeight="1">
      <c r="A70" s="523"/>
      <c r="B70" s="523"/>
      <c r="C70" s="523"/>
      <c r="D70" s="523"/>
      <c r="E70" s="523" t="s">
        <v>608</v>
      </c>
      <c r="F70" s="523"/>
      <c r="G70" s="524"/>
    </row>
    <row r="71" spans="1:7">
      <c r="A71" s="523"/>
      <c r="B71" s="523"/>
      <c r="C71" s="523"/>
      <c r="D71" s="523"/>
      <c r="E71" s="523"/>
      <c r="F71" s="523" t="s">
        <v>609</v>
      </c>
      <c r="G71" s="524">
        <v>3723.6</v>
      </c>
    </row>
    <row r="72" spans="1:7">
      <c r="A72" s="523"/>
      <c r="B72" s="523"/>
      <c r="C72" s="523"/>
      <c r="D72" s="523"/>
      <c r="E72" s="523"/>
      <c r="F72" s="523" t="s">
        <v>610</v>
      </c>
      <c r="G72" s="524">
        <v>7826.31</v>
      </c>
    </row>
    <row r="73" spans="1:7" ht="15.75" thickBot="1">
      <c r="A73" s="523"/>
      <c r="B73" s="523"/>
      <c r="C73" s="523"/>
      <c r="D73" s="523"/>
      <c r="E73" s="523"/>
      <c r="F73" s="523" t="s">
        <v>611</v>
      </c>
      <c r="G73" s="525">
        <v>3533.17</v>
      </c>
    </row>
    <row r="74" spans="1:7">
      <c r="A74" s="523"/>
      <c r="B74" s="523"/>
      <c r="C74" s="523"/>
      <c r="D74" s="523"/>
      <c r="E74" s="523" t="s">
        <v>612</v>
      </c>
      <c r="F74" s="523"/>
      <c r="G74" s="524">
        <f>ROUND(SUM(G70:G73),5)</f>
        <v>15083.08</v>
      </c>
    </row>
    <row r="75" spans="1:7" ht="30" customHeight="1">
      <c r="A75" s="523"/>
      <c r="B75" s="523"/>
      <c r="C75" s="523"/>
      <c r="D75" s="523"/>
      <c r="E75" s="523" t="s">
        <v>613</v>
      </c>
      <c r="F75" s="523"/>
      <c r="G75" s="524"/>
    </row>
    <row r="76" spans="1:7">
      <c r="A76" s="523"/>
      <c r="B76" s="523"/>
      <c r="C76" s="523"/>
      <c r="D76" s="523"/>
      <c r="E76" s="523"/>
      <c r="F76" s="523" t="s">
        <v>614</v>
      </c>
      <c r="G76" s="524">
        <v>20483.689999999999</v>
      </c>
    </row>
    <row r="77" spans="1:7">
      <c r="A77" s="523"/>
      <c r="B77" s="523"/>
      <c r="C77" s="523"/>
      <c r="D77" s="523"/>
      <c r="E77" s="523"/>
      <c r="F77" s="523" t="s">
        <v>615</v>
      </c>
      <c r="G77" s="524">
        <v>989.75</v>
      </c>
    </row>
    <row r="78" spans="1:7" ht="15.75" thickBot="1">
      <c r="A78" s="523"/>
      <c r="B78" s="523"/>
      <c r="C78" s="523"/>
      <c r="D78" s="523"/>
      <c r="E78" s="523"/>
      <c r="F78" s="523" t="s">
        <v>616</v>
      </c>
      <c r="G78" s="525">
        <v>3083.4</v>
      </c>
    </row>
    <row r="79" spans="1:7">
      <c r="A79" s="523"/>
      <c r="B79" s="523"/>
      <c r="C79" s="523"/>
      <c r="D79" s="523"/>
      <c r="E79" s="523" t="s">
        <v>617</v>
      </c>
      <c r="F79" s="523"/>
      <c r="G79" s="524">
        <f>ROUND(SUM(G75:G78),5)</f>
        <v>24556.84</v>
      </c>
    </row>
    <row r="80" spans="1:7" ht="30" customHeight="1">
      <c r="A80" s="523"/>
      <c r="B80" s="523"/>
      <c r="C80" s="523"/>
      <c r="D80" s="523"/>
      <c r="E80" s="523" t="s">
        <v>618</v>
      </c>
      <c r="F80" s="523"/>
      <c r="G80" s="524"/>
    </row>
    <row r="81" spans="1:7" ht="15.75" thickBot="1">
      <c r="A81" s="523"/>
      <c r="B81" s="523"/>
      <c r="C81" s="523"/>
      <c r="D81" s="523"/>
      <c r="E81" s="523"/>
      <c r="F81" s="523" t="s">
        <v>619</v>
      </c>
      <c r="G81" s="525">
        <v>15657.18</v>
      </c>
    </row>
    <row r="82" spans="1:7">
      <c r="A82" s="523"/>
      <c r="B82" s="523"/>
      <c r="C82" s="523"/>
      <c r="D82" s="523"/>
      <c r="E82" s="523" t="s">
        <v>620</v>
      </c>
      <c r="F82" s="523"/>
      <c r="G82" s="524">
        <f>ROUND(SUM(G80:G81),5)</f>
        <v>15657.18</v>
      </c>
    </row>
    <row r="83" spans="1:7" ht="30" customHeight="1">
      <c r="A83" s="523"/>
      <c r="B83" s="523"/>
      <c r="C83" s="523"/>
      <c r="D83" s="523"/>
      <c r="E83" s="523" t="s">
        <v>621</v>
      </c>
      <c r="F83" s="523"/>
      <c r="G83" s="524"/>
    </row>
    <row r="84" spans="1:7">
      <c r="A84" s="523"/>
      <c r="B84" s="523"/>
      <c r="C84" s="523"/>
      <c r="D84" s="523"/>
      <c r="E84" s="523"/>
      <c r="F84" s="523" t="s">
        <v>738</v>
      </c>
      <c r="G84" s="524">
        <v>2711.66</v>
      </c>
    </row>
    <row r="85" spans="1:7">
      <c r="A85" s="523"/>
      <c r="B85" s="523"/>
      <c r="C85" s="523"/>
      <c r="D85" s="523"/>
      <c r="E85" s="523"/>
      <c r="F85" s="523" t="s">
        <v>622</v>
      </c>
      <c r="G85" s="524">
        <v>21.6</v>
      </c>
    </row>
    <row r="86" spans="1:7" ht="15.75" thickBot="1">
      <c r="A86" s="523"/>
      <c r="B86" s="523"/>
      <c r="C86" s="523"/>
      <c r="D86" s="523"/>
      <c r="E86" s="523"/>
      <c r="F86" s="523" t="s">
        <v>623</v>
      </c>
      <c r="G86" s="525">
        <v>30000</v>
      </c>
    </row>
    <row r="87" spans="1:7">
      <c r="A87" s="523"/>
      <c r="B87" s="523"/>
      <c r="C87" s="523"/>
      <c r="D87" s="523"/>
      <c r="E87" s="523" t="s">
        <v>624</v>
      </c>
      <c r="F87" s="523"/>
      <c r="G87" s="524">
        <f>ROUND(SUM(G83:G86),5)</f>
        <v>32733.26</v>
      </c>
    </row>
    <row r="88" spans="1:7" ht="30" customHeight="1">
      <c r="A88" s="523"/>
      <c r="B88" s="523"/>
      <c r="C88" s="523"/>
      <c r="D88" s="523"/>
      <c r="E88" s="523" t="s">
        <v>625</v>
      </c>
      <c r="F88" s="523"/>
      <c r="G88" s="524"/>
    </row>
    <row r="89" spans="1:7">
      <c r="A89" s="523"/>
      <c r="B89" s="523"/>
      <c r="C89" s="523"/>
      <c r="D89" s="523"/>
      <c r="E89" s="523"/>
      <c r="F89" s="523" t="s">
        <v>626</v>
      </c>
      <c r="G89" s="524">
        <v>5000</v>
      </c>
    </row>
    <row r="90" spans="1:7" ht="15.75" thickBot="1">
      <c r="A90" s="523"/>
      <c r="B90" s="523"/>
      <c r="C90" s="523"/>
      <c r="D90" s="523"/>
      <c r="E90" s="523"/>
      <c r="F90" s="523" t="s">
        <v>627</v>
      </c>
      <c r="G90" s="525">
        <v>49999.97</v>
      </c>
    </row>
    <row r="91" spans="1:7">
      <c r="A91" s="523"/>
      <c r="B91" s="523"/>
      <c r="C91" s="523"/>
      <c r="D91" s="523"/>
      <c r="E91" s="523" t="s">
        <v>628</v>
      </c>
      <c r="F91" s="523"/>
      <c r="G91" s="524">
        <f>ROUND(SUM(G88:G90),5)</f>
        <v>54999.97</v>
      </c>
    </row>
    <row r="92" spans="1:7" ht="30" customHeight="1">
      <c r="A92" s="523"/>
      <c r="B92" s="523"/>
      <c r="C92" s="523"/>
      <c r="D92" s="523"/>
      <c r="E92" s="523" t="s">
        <v>629</v>
      </c>
      <c r="F92" s="523"/>
      <c r="G92" s="524"/>
    </row>
    <row r="93" spans="1:7" ht="15.75" thickBot="1">
      <c r="A93" s="523"/>
      <c r="B93" s="523"/>
      <c r="C93" s="523"/>
      <c r="D93" s="523"/>
      <c r="E93" s="523"/>
      <c r="F93" s="523" t="s">
        <v>630</v>
      </c>
      <c r="G93" s="525">
        <v>5073.99</v>
      </c>
    </row>
    <row r="94" spans="1:7">
      <c r="A94" s="523"/>
      <c r="B94" s="523"/>
      <c r="C94" s="523"/>
      <c r="D94" s="523"/>
      <c r="E94" s="523" t="s">
        <v>631</v>
      </c>
      <c r="F94" s="523"/>
      <c r="G94" s="524">
        <f>ROUND(SUM(G92:G93),5)</f>
        <v>5073.99</v>
      </c>
    </row>
    <row r="95" spans="1:7" ht="30" customHeight="1">
      <c r="A95" s="523"/>
      <c r="B95" s="523"/>
      <c r="C95" s="523"/>
      <c r="D95" s="523"/>
      <c r="E95" s="523" t="s">
        <v>632</v>
      </c>
      <c r="F95" s="523"/>
      <c r="G95" s="524"/>
    </row>
    <row r="96" spans="1:7">
      <c r="A96" s="523"/>
      <c r="B96" s="523"/>
      <c r="C96" s="523"/>
      <c r="D96" s="523"/>
      <c r="E96" s="523"/>
      <c r="F96" s="523" t="s">
        <v>633</v>
      </c>
      <c r="G96" s="524">
        <v>1125</v>
      </c>
    </row>
    <row r="97" spans="1:7" ht="15.75" thickBot="1">
      <c r="A97" s="523"/>
      <c r="B97" s="523"/>
      <c r="C97" s="523"/>
      <c r="D97" s="523"/>
      <c r="E97" s="523"/>
      <c r="F97" s="523" t="s">
        <v>739</v>
      </c>
      <c r="G97" s="525">
        <v>578.20000000000005</v>
      </c>
    </row>
    <row r="98" spans="1:7">
      <c r="A98" s="523"/>
      <c r="B98" s="523"/>
      <c r="C98" s="523"/>
      <c r="D98" s="523"/>
      <c r="E98" s="523" t="s">
        <v>634</v>
      </c>
      <c r="F98" s="523"/>
      <c r="G98" s="524">
        <f>ROUND(SUM(G95:G97),5)</f>
        <v>1703.2</v>
      </c>
    </row>
    <row r="99" spans="1:7" ht="30" customHeight="1">
      <c r="A99" s="523"/>
      <c r="B99" s="523"/>
      <c r="C99" s="523"/>
      <c r="D99" s="523"/>
      <c r="E99" s="523" t="s">
        <v>635</v>
      </c>
      <c r="F99" s="523"/>
      <c r="G99" s="524"/>
    </row>
    <row r="100" spans="1:7" ht="15.75" thickBot="1">
      <c r="A100" s="523"/>
      <c r="B100" s="523"/>
      <c r="C100" s="523"/>
      <c r="D100" s="523"/>
      <c r="E100" s="523"/>
      <c r="F100" s="523" t="s">
        <v>636</v>
      </c>
      <c r="G100" s="525">
        <v>153564.13</v>
      </c>
    </row>
    <row r="101" spans="1:7">
      <c r="A101" s="523"/>
      <c r="B101" s="523"/>
      <c r="C101" s="523"/>
      <c r="D101" s="523"/>
      <c r="E101" s="523" t="s">
        <v>637</v>
      </c>
      <c r="F101" s="523"/>
      <c r="G101" s="524">
        <f>ROUND(SUM(G99:G100),5)</f>
        <v>153564.13</v>
      </c>
    </row>
    <row r="102" spans="1:7" ht="30" customHeight="1">
      <c r="A102" s="523"/>
      <c r="B102" s="523"/>
      <c r="C102" s="523"/>
      <c r="D102" s="523"/>
      <c r="E102" s="523" t="s">
        <v>638</v>
      </c>
      <c r="F102" s="523"/>
      <c r="G102" s="524"/>
    </row>
    <row r="103" spans="1:7" ht="15.75" thickBot="1">
      <c r="A103" s="523"/>
      <c r="B103" s="523"/>
      <c r="C103" s="523"/>
      <c r="D103" s="523"/>
      <c r="E103" s="523"/>
      <c r="F103" s="523" t="s">
        <v>639</v>
      </c>
      <c r="G103" s="525">
        <v>300.29000000000002</v>
      </c>
    </row>
    <row r="104" spans="1:7">
      <c r="A104" s="523"/>
      <c r="B104" s="523"/>
      <c r="C104" s="523"/>
      <c r="D104" s="523"/>
      <c r="E104" s="523" t="s">
        <v>640</v>
      </c>
      <c r="F104" s="523"/>
      <c r="G104" s="524">
        <f>ROUND(SUM(G102:G103),5)</f>
        <v>300.29000000000002</v>
      </c>
    </row>
    <row r="105" spans="1:7" ht="30" customHeight="1">
      <c r="A105" s="523"/>
      <c r="B105" s="523"/>
      <c r="C105" s="523"/>
      <c r="D105" s="523"/>
      <c r="E105" s="523" t="s">
        <v>641</v>
      </c>
      <c r="F105" s="523"/>
      <c r="G105" s="524"/>
    </row>
    <row r="106" spans="1:7" ht="15.75" thickBot="1">
      <c r="A106" s="523"/>
      <c r="B106" s="523"/>
      <c r="C106" s="523"/>
      <c r="D106" s="523"/>
      <c r="E106" s="523"/>
      <c r="F106" s="523" t="s">
        <v>642</v>
      </c>
      <c r="G106" s="525">
        <v>982.9</v>
      </c>
    </row>
    <row r="107" spans="1:7">
      <c r="A107" s="523"/>
      <c r="B107" s="523"/>
      <c r="C107" s="523"/>
      <c r="D107" s="523"/>
      <c r="E107" s="523" t="s">
        <v>643</v>
      </c>
      <c r="F107" s="523"/>
      <c r="G107" s="524">
        <f>ROUND(SUM(G105:G106),5)</f>
        <v>982.9</v>
      </c>
    </row>
    <row r="108" spans="1:7" ht="30" customHeight="1">
      <c r="A108" s="523"/>
      <c r="B108" s="523"/>
      <c r="C108" s="523"/>
      <c r="D108" s="523"/>
      <c r="E108" s="523" t="s">
        <v>644</v>
      </c>
      <c r="F108" s="523"/>
      <c r="G108" s="524"/>
    </row>
    <row r="109" spans="1:7">
      <c r="A109" s="523"/>
      <c r="B109" s="523"/>
      <c r="C109" s="523"/>
      <c r="D109" s="523"/>
      <c r="E109" s="523"/>
      <c r="F109" s="523" t="s">
        <v>645</v>
      </c>
      <c r="G109" s="524">
        <v>821.09</v>
      </c>
    </row>
    <row r="110" spans="1:7">
      <c r="A110" s="523"/>
      <c r="B110" s="523"/>
      <c r="C110" s="523"/>
      <c r="D110" s="523"/>
      <c r="E110" s="523"/>
      <c r="F110" s="523" t="s">
        <v>646</v>
      </c>
      <c r="G110" s="524">
        <v>12607.57</v>
      </c>
    </row>
    <row r="111" spans="1:7">
      <c r="A111" s="523"/>
      <c r="B111" s="523"/>
      <c r="C111" s="523"/>
      <c r="D111" s="523"/>
      <c r="E111" s="523"/>
      <c r="F111" s="523" t="s">
        <v>647</v>
      </c>
      <c r="G111" s="524">
        <v>3977.12</v>
      </c>
    </row>
    <row r="112" spans="1:7">
      <c r="A112" s="523"/>
      <c r="B112" s="523"/>
      <c r="C112" s="523"/>
      <c r="D112" s="523"/>
      <c r="E112" s="523"/>
      <c r="F112" s="523" t="s">
        <v>648</v>
      </c>
      <c r="G112" s="524">
        <v>1840</v>
      </c>
    </row>
    <row r="113" spans="1:7">
      <c r="A113" s="523"/>
      <c r="B113" s="523"/>
      <c r="C113" s="523"/>
      <c r="D113" s="523"/>
      <c r="E113" s="523"/>
      <c r="F113" s="523" t="s">
        <v>649</v>
      </c>
      <c r="G113" s="524">
        <v>15880.68</v>
      </c>
    </row>
    <row r="114" spans="1:7">
      <c r="A114" s="523"/>
      <c r="B114" s="523"/>
      <c r="C114" s="523"/>
      <c r="D114" s="523"/>
      <c r="E114" s="523"/>
      <c r="F114" s="523" t="s">
        <v>650</v>
      </c>
      <c r="G114" s="524">
        <v>892.38</v>
      </c>
    </row>
    <row r="115" spans="1:7">
      <c r="A115" s="523"/>
      <c r="B115" s="523"/>
      <c r="C115" s="523"/>
      <c r="D115" s="523"/>
      <c r="E115" s="523"/>
      <c r="F115" s="523" t="s">
        <v>651</v>
      </c>
      <c r="G115" s="524">
        <v>5548.38</v>
      </c>
    </row>
    <row r="116" spans="1:7">
      <c r="A116" s="523"/>
      <c r="B116" s="523"/>
      <c r="C116" s="523"/>
      <c r="D116" s="523"/>
      <c r="E116" s="523"/>
      <c r="F116" s="523" t="s">
        <v>652</v>
      </c>
      <c r="G116" s="524">
        <v>690</v>
      </c>
    </row>
    <row r="117" spans="1:7">
      <c r="A117" s="523"/>
      <c r="B117" s="523"/>
      <c r="C117" s="523"/>
      <c r="D117" s="523"/>
      <c r="E117" s="523"/>
      <c r="F117" s="523" t="s">
        <v>653</v>
      </c>
      <c r="G117" s="524">
        <v>57876.71</v>
      </c>
    </row>
    <row r="118" spans="1:7">
      <c r="A118" s="523"/>
      <c r="B118" s="523"/>
      <c r="C118" s="523"/>
      <c r="D118" s="523"/>
      <c r="E118" s="523"/>
      <c r="F118" s="523" t="s">
        <v>654</v>
      </c>
      <c r="G118" s="524">
        <v>802.61</v>
      </c>
    </row>
    <row r="119" spans="1:7" ht="15.75" thickBot="1">
      <c r="A119" s="523"/>
      <c r="B119" s="523"/>
      <c r="C119" s="523"/>
      <c r="D119" s="523"/>
      <c r="E119" s="523"/>
      <c r="F119" s="523" t="s">
        <v>655</v>
      </c>
      <c r="G119" s="705">
        <v>3250</v>
      </c>
    </row>
    <row r="120" spans="1:7" ht="15.75" thickBot="1">
      <c r="A120" s="523"/>
      <c r="B120" s="523"/>
      <c r="C120" s="523"/>
      <c r="D120" s="523"/>
      <c r="E120" s="523" t="s">
        <v>656</v>
      </c>
      <c r="F120" s="523"/>
      <c r="G120" s="526">
        <f>ROUND(SUM(G108:G119),5)</f>
        <v>104186.54</v>
      </c>
    </row>
    <row r="121" spans="1:7" ht="30" customHeight="1" thickBot="1">
      <c r="A121" s="523"/>
      <c r="B121" s="523"/>
      <c r="C121" s="523"/>
      <c r="D121" s="523" t="s">
        <v>657</v>
      </c>
      <c r="E121" s="523"/>
      <c r="F121" s="523"/>
      <c r="G121" s="526">
        <f>ROUND(G42+G49+G63+G69+G74+G79+G82+G87+G91+G94+G98+G101+G104+G107+G120,5)</f>
        <v>2054701.24</v>
      </c>
    </row>
    <row r="122" spans="1:7" ht="30" customHeight="1" thickBot="1">
      <c r="A122" s="523"/>
      <c r="B122" s="523" t="s">
        <v>658</v>
      </c>
      <c r="C122" s="523"/>
      <c r="D122" s="523"/>
      <c r="E122" s="523"/>
      <c r="F122" s="523"/>
      <c r="G122" s="526">
        <f>ROUND(G5+G41-G121,5)</f>
        <v>-86180.55</v>
      </c>
    </row>
    <row r="123" spans="1:7" s="530" customFormat="1" ht="30" customHeight="1" thickBot="1">
      <c r="A123" s="523" t="s">
        <v>659</v>
      </c>
      <c r="B123" s="523"/>
      <c r="C123" s="523"/>
      <c r="D123" s="523"/>
      <c r="E123" s="523"/>
      <c r="F123" s="523"/>
      <c r="G123" s="529">
        <f>G122</f>
        <v>-86180.55</v>
      </c>
    </row>
    <row r="124" spans="1:7" ht="15.75" thickTop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Y296"/>
  <sheetViews>
    <sheetView topLeftCell="P178" workbookViewId="0">
      <selection activeCell="Y189" sqref="Y188:Y189"/>
    </sheetView>
  </sheetViews>
  <sheetFormatPr baseColWidth="10" defaultColWidth="11.42578125" defaultRowHeight="12.75"/>
  <cols>
    <col min="1" max="1" width="47.7109375" style="659" customWidth="1"/>
    <col min="2" max="2" width="8.7109375" style="659" customWidth="1"/>
    <col min="3" max="3" width="17.140625" style="659" customWidth="1"/>
    <col min="4" max="4" width="2.5703125" style="659" customWidth="1"/>
    <col min="5" max="5" width="17.140625" style="659" customWidth="1"/>
    <col min="6" max="13" width="11.42578125" style="659"/>
    <col min="14" max="14" width="20.85546875" style="659" customWidth="1"/>
    <col min="15" max="16" width="11.42578125" style="659"/>
    <col min="17" max="17" width="15.28515625" style="659" customWidth="1"/>
    <col min="18" max="18" width="31" style="659" customWidth="1"/>
    <col min="19" max="19" width="14.85546875" style="659" customWidth="1"/>
    <col min="20" max="20" width="15" style="659" bestFit="1" customWidth="1"/>
    <col min="21" max="21" width="14.85546875" style="659" bestFit="1" customWidth="1"/>
    <col min="22" max="22" width="22.28515625" style="659" customWidth="1"/>
    <col min="23" max="23" width="14.140625" style="659" bestFit="1" customWidth="1"/>
    <col min="24" max="24" width="12.28515625" style="659" bestFit="1" customWidth="1"/>
    <col min="25" max="25" width="14.140625" style="659" bestFit="1" customWidth="1"/>
    <col min="26" max="256" width="11.42578125" style="659"/>
    <col min="257" max="257" width="47.7109375" style="659" customWidth="1"/>
    <col min="258" max="258" width="8.7109375" style="659" customWidth="1"/>
    <col min="259" max="259" width="17.140625" style="659" customWidth="1"/>
    <col min="260" max="260" width="2.5703125" style="659" customWidth="1"/>
    <col min="261" max="261" width="17.140625" style="659" customWidth="1"/>
    <col min="262" max="272" width="11.42578125" style="659"/>
    <col min="273" max="273" width="15.28515625" style="659" customWidth="1"/>
    <col min="274" max="274" width="20.5703125" style="659" customWidth="1"/>
    <col min="275" max="275" width="14.85546875" style="659" customWidth="1"/>
    <col min="276" max="276" width="14.140625" style="659" bestFit="1" customWidth="1"/>
    <col min="277" max="277" width="11.42578125" style="659"/>
    <col min="278" max="278" width="22.28515625" style="659" customWidth="1"/>
    <col min="279" max="512" width="11.42578125" style="659"/>
    <col min="513" max="513" width="47.7109375" style="659" customWidth="1"/>
    <col min="514" max="514" width="8.7109375" style="659" customWidth="1"/>
    <col min="515" max="515" width="17.140625" style="659" customWidth="1"/>
    <col min="516" max="516" width="2.5703125" style="659" customWidth="1"/>
    <col min="517" max="517" width="17.140625" style="659" customWidth="1"/>
    <col min="518" max="528" width="11.42578125" style="659"/>
    <col min="529" max="529" width="15.28515625" style="659" customWidth="1"/>
    <col min="530" max="530" width="20.5703125" style="659" customWidth="1"/>
    <col min="531" max="531" width="14.85546875" style="659" customWidth="1"/>
    <col min="532" max="532" width="14.140625" style="659" bestFit="1" customWidth="1"/>
    <col min="533" max="533" width="11.42578125" style="659"/>
    <col min="534" max="534" width="22.28515625" style="659" customWidth="1"/>
    <col min="535" max="768" width="11.42578125" style="659"/>
    <col min="769" max="769" width="47.7109375" style="659" customWidth="1"/>
    <col min="770" max="770" width="8.7109375" style="659" customWidth="1"/>
    <col min="771" max="771" width="17.140625" style="659" customWidth="1"/>
    <col min="772" max="772" width="2.5703125" style="659" customWidth="1"/>
    <col min="773" max="773" width="17.140625" style="659" customWidth="1"/>
    <col min="774" max="784" width="11.42578125" style="659"/>
    <col min="785" max="785" width="15.28515625" style="659" customWidth="1"/>
    <col min="786" max="786" width="20.5703125" style="659" customWidth="1"/>
    <col min="787" max="787" width="14.85546875" style="659" customWidth="1"/>
    <col min="788" max="788" width="14.140625" style="659" bestFit="1" customWidth="1"/>
    <col min="789" max="789" width="11.42578125" style="659"/>
    <col min="790" max="790" width="22.28515625" style="659" customWidth="1"/>
    <col min="791" max="1024" width="11.42578125" style="659"/>
    <col min="1025" max="1025" width="47.7109375" style="659" customWidth="1"/>
    <col min="1026" max="1026" width="8.7109375" style="659" customWidth="1"/>
    <col min="1027" max="1027" width="17.140625" style="659" customWidth="1"/>
    <col min="1028" max="1028" width="2.5703125" style="659" customWidth="1"/>
    <col min="1029" max="1029" width="17.140625" style="659" customWidth="1"/>
    <col min="1030" max="1040" width="11.42578125" style="659"/>
    <col min="1041" max="1041" width="15.28515625" style="659" customWidth="1"/>
    <col min="1042" max="1042" width="20.5703125" style="659" customWidth="1"/>
    <col min="1043" max="1043" width="14.85546875" style="659" customWidth="1"/>
    <col min="1044" max="1044" width="14.140625" style="659" bestFit="1" customWidth="1"/>
    <col min="1045" max="1045" width="11.42578125" style="659"/>
    <col min="1046" max="1046" width="22.28515625" style="659" customWidth="1"/>
    <col min="1047" max="1280" width="11.42578125" style="659"/>
    <col min="1281" max="1281" width="47.7109375" style="659" customWidth="1"/>
    <col min="1282" max="1282" width="8.7109375" style="659" customWidth="1"/>
    <col min="1283" max="1283" width="17.140625" style="659" customWidth="1"/>
    <col min="1284" max="1284" width="2.5703125" style="659" customWidth="1"/>
    <col min="1285" max="1285" width="17.140625" style="659" customWidth="1"/>
    <col min="1286" max="1296" width="11.42578125" style="659"/>
    <col min="1297" max="1297" width="15.28515625" style="659" customWidth="1"/>
    <col min="1298" max="1298" width="20.5703125" style="659" customWidth="1"/>
    <col min="1299" max="1299" width="14.85546875" style="659" customWidth="1"/>
    <col min="1300" max="1300" width="14.140625" style="659" bestFit="1" customWidth="1"/>
    <col min="1301" max="1301" width="11.42578125" style="659"/>
    <col min="1302" max="1302" width="22.28515625" style="659" customWidth="1"/>
    <col min="1303" max="1536" width="11.42578125" style="659"/>
    <col min="1537" max="1537" width="47.7109375" style="659" customWidth="1"/>
    <col min="1538" max="1538" width="8.7109375" style="659" customWidth="1"/>
    <col min="1539" max="1539" width="17.140625" style="659" customWidth="1"/>
    <col min="1540" max="1540" width="2.5703125" style="659" customWidth="1"/>
    <col min="1541" max="1541" width="17.140625" style="659" customWidth="1"/>
    <col min="1542" max="1552" width="11.42578125" style="659"/>
    <col min="1553" max="1553" width="15.28515625" style="659" customWidth="1"/>
    <col min="1554" max="1554" width="20.5703125" style="659" customWidth="1"/>
    <col min="1555" max="1555" width="14.85546875" style="659" customWidth="1"/>
    <col min="1556" max="1556" width="14.140625" style="659" bestFit="1" customWidth="1"/>
    <col min="1557" max="1557" width="11.42578125" style="659"/>
    <col min="1558" max="1558" width="22.28515625" style="659" customWidth="1"/>
    <col min="1559" max="1792" width="11.42578125" style="659"/>
    <col min="1793" max="1793" width="47.7109375" style="659" customWidth="1"/>
    <col min="1794" max="1794" width="8.7109375" style="659" customWidth="1"/>
    <col min="1795" max="1795" width="17.140625" style="659" customWidth="1"/>
    <col min="1796" max="1796" width="2.5703125" style="659" customWidth="1"/>
    <col min="1797" max="1797" width="17.140625" style="659" customWidth="1"/>
    <col min="1798" max="1808" width="11.42578125" style="659"/>
    <col min="1809" max="1809" width="15.28515625" style="659" customWidth="1"/>
    <col min="1810" max="1810" width="20.5703125" style="659" customWidth="1"/>
    <col min="1811" max="1811" width="14.85546875" style="659" customWidth="1"/>
    <col min="1812" max="1812" width="14.140625" style="659" bestFit="1" customWidth="1"/>
    <col min="1813" max="1813" width="11.42578125" style="659"/>
    <col min="1814" max="1814" width="22.28515625" style="659" customWidth="1"/>
    <col min="1815" max="2048" width="11.42578125" style="659"/>
    <col min="2049" max="2049" width="47.7109375" style="659" customWidth="1"/>
    <col min="2050" max="2050" width="8.7109375" style="659" customWidth="1"/>
    <col min="2051" max="2051" width="17.140625" style="659" customWidth="1"/>
    <col min="2052" max="2052" width="2.5703125" style="659" customWidth="1"/>
    <col min="2053" max="2053" width="17.140625" style="659" customWidth="1"/>
    <col min="2054" max="2064" width="11.42578125" style="659"/>
    <col min="2065" max="2065" width="15.28515625" style="659" customWidth="1"/>
    <col min="2066" max="2066" width="20.5703125" style="659" customWidth="1"/>
    <col min="2067" max="2067" width="14.85546875" style="659" customWidth="1"/>
    <col min="2068" max="2068" width="14.140625" style="659" bestFit="1" customWidth="1"/>
    <col min="2069" max="2069" width="11.42578125" style="659"/>
    <col min="2070" max="2070" width="22.28515625" style="659" customWidth="1"/>
    <col min="2071" max="2304" width="11.42578125" style="659"/>
    <col min="2305" max="2305" width="47.7109375" style="659" customWidth="1"/>
    <col min="2306" max="2306" width="8.7109375" style="659" customWidth="1"/>
    <col min="2307" max="2307" width="17.140625" style="659" customWidth="1"/>
    <col min="2308" max="2308" width="2.5703125" style="659" customWidth="1"/>
    <col min="2309" max="2309" width="17.140625" style="659" customWidth="1"/>
    <col min="2310" max="2320" width="11.42578125" style="659"/>
    <col min="2321" max="2321" width="15.28515625" style="659" customWidth="1"/>
    <col min="2322" max="2322" width="20.5703125" style="659" customWidth="1"/>
    <col min="2323" max="2323" width="14.85546875" style="659" customWidth="1"/>
    <col min="2324" max="2324" width="14.140625" style="659" bestFit="1" customWidth="1"/>
    <col min="2325" max="2325" width="11.42578125" style="659"/>
    <col min="2326" max="2326" width="22.28515625" style="659" customWidth="1"/>
    <col min="2327" max="2560" width="11.42578125" style="659"/>
    <col min="2561" max="2561" width="47.7109375" style="659" customWidth="1"/>
    <col min="2562" max="2562" width="8.7109375" style="659" customWidth="1"/>
    <col min="2563" max="2563" width="17.140625" style="659" customWidth="1"/>
    <col min="2564" max="2564" width="2.5703125" style="659" customWidth="1"/>
    <col min="2565" max="2565" width="17.140625" style="659" customWidth="1"/>
    <col min="2566" max="2576" width="11.42578125" style="659"/>
    <col min="2577" max="2577" width="15.28515625" style="659" customWidth="1"/>
    <col min="2578" max="2578" width="20.5703125" style="659" customWidth="1"/>
    <col min="2579" max="2579" width="14.85546875" style="659" customWidth="1"/>
    <col min="2580" max="2580" width="14.140625" style="659" bestFit="1" customWidth="1"/>
    <col min="2581" max="2581" width="11.42578125" style="659"/>
    <col min="2582" max="2582" width="22.28515625" style="659" customWidth="1"/>
    <col min="2583" max="2816" width="11.42578125" style="659"/>
    <col min="2817" max="2817" width="47.7109375" style="659" customWidth="1"/>
    <col min="2818" max="2818" width="8.7109375" style="659" customWidth="1"/>
    <col min="2819" max="2819" width="17.140625" style="659" customWidth="1"/>
    <col min="2820" max="2820" width="2.5703125" style="659" customWidth="1"/>
    <col min="2821" max="2821" width="17.140625" style="659" customWidth="1"/>
    <col min="2822" max="2832" width="11.42578125" style="659"/>
    <col min="2833" max="2833" width="15.28515625" style="659" customWidth="1"/>
    <col min="2834" max="2834" width="20.5703125" style="659" customWidth="1"/>
    <col min="2835" max="2835" width="14.85546875" style="659" customWidth="1"/>
    <col min="2836" max="2836" width="14.140625" style="659" bestFit="1" customWidth="1"/>
    <col min="2837" max="2837" width="11.42578125" style="659"/>
    <col min="2838" max="2838" width="22.28515625" style="659" customWidth="1"/>
    <col min="2839" max="3072" width="11.42578125" style="659"/>
    <col min="3073" max="3073" width="47.7109375" style="659" customWidth="1"/>
    <col min="3074" max="3074" width="8.7109375" style="659" customWidth="1"/>
    <col min="3075" max="3075" width="17.140625" style="659" customWidth="1"/>
    <col min="3076" max="3076" width="2.5703125" style="659" customWidth="1"/>
    <col min="3077" max="3077" width="17.140625" style="659" customWidth="1"/>
    <col min="3078" max="3088" width="11.42578125" style="659"/>
    <col min="3089" max="3089" width="15.28515625" style="659" customWidth="1"/>
    <col min="3090" max="3090" width="20.5703125" style="659" customWidth="1"/>
    <col min="3091" max="3091" width="14.85546875" style="659" customWidth="1"/>
    <col min="3092" max="3092" width="14.140625" style="659" bestFit="1" customWidth="1"/>
    <col min="3093" max="3093" width="11.42578125" style="659"/>
    <col min="3094" max="3094" width="22.28515625" style="659" customWidth="1"/>
    <col min="3095" max="3328" width="11.42578125" style="659"/>
    <col min="3329" max="3329" width="47.7109375" style="659" customWidth="1"/>
    <col min="3330" max="3330" width="8.7109375" style="659" customWidth="1"/>
    <col min="3331" max="3331" width="17.140625" style="659" customWidth="1"/>
    <col min="3332" max="3332" width="2.5703125" style="659" customWidth="1"/>
    <col min="3333" max="3333" width="17.140625" style="659" customWidth="1"/>
    <col min="3334" max="3344" width="11.42578125" style="659"/>
    <col min="3345" max="3345" width="15.28515625" style="659" customWidth="1"/>
    <col min="3346" max="3346" width="20.5703125" style="659" customWidth="1"/>
    <col min="3347" max="3347" width="14.85546875" style="659" customWidth="1"/>
    <col min="3348" max="3348" width="14.140625" style="659" bestFit="1" customWidth="1"/>
    <col min="3349" max="3349" width="11.42578125" style="659"/>
    <col min="3350" max="3350" width="22.28515625" style="659" customWidth="1"/>
    <col min="3351" max="3584" width="11.42578125" style="659"/>
    <col min="3585" max="3585" width="47.7109375" style="659" customWidth="1"/>
    <col min="3586" max="3586" width="8.7109375" style="659" customWidth="1"/>
    <col min="3587" max="3587" width="17.140625" style="659" customWidth="1"/>
    <col min="3588" max="3588" width="2.5703125" style="659" customWidth="1"/>
    <col min="3589" max="3589" width="17.140625" style="659" customWidth="1"/>
    <col min="3590" max="3600" width="11.42578125" style="659"/>
    <col min="3601" max="3601" width="15.28515625" style="659" customWidth="1"/>
    <col min="3602" max="3602" width="20.5703125" style="659" customWidth="1"/>
    <col min="3603" max="3603" width="14.85546875" style="659" customWidth="1"/>
    <col min="3604" max="3604" width="14.140625" style="659" bestFit="1" customWidth="1"/>
    <col min="3605" max="3605" width="11.42578125" style="659"/>
    <col min="3606" max="3606" width="22.28515625" style="659" customWidth="1"/>
    <col min="3607" max="3840" width="11.42578125" style="659"/>
    <col min="3841" max="3841" width="47.7109375" style="659" customWidth="1"/>
    <col min="3842" max="3842" width="8.7109375" style="659" customWidth="1"/>
    <col min="3843" max="3843" width="17.140625" style="659" customWidth="1"/>
    <col min="3844" max="3844" width="2.5703125" style="659" customWidth="1"/>
    <col min="3845" max="3845" width="17.140625" style="659" customWidth="1"/>
    <col min="3846" max="3856" width="11.42578125" style="659"/>
    <col min="3857" max="3857" width="15.28515625" style="659" customWidth="1"/>
    <col min="3858" max="3858" width="20.5703125" style="659" customWidth="1"/>
    <col min="3859" max="3859" width="14.85546875" style="659" customWidth="1"/>
    <col min="3860" max="3860" width="14.140625" style="659" bestFit="1" customWidth="1"/>
    <col min="3861" max="3861" width="11.42578125" style="659"/>
    <col min="3862" max="3862" width="22.28515625" style="659" customWidth="1"/>
    <col min="3863" max="4096" width="11.42578125" style="659"/>
    <col min="4097" max="4097" width="47.7109375" style="659" customWidth="1"/>
    <col min="4098" max="4098" width="8.7109375" style="659" customWidth="1"/>
    <col min="4099" max="4099" width="17.140625" style="659" customWidth="1"/>
    <col min="4100" max="4100" width="2.5703125" style="659" customWidth="1"/>
    <col min="4101" max="4101" width="17.140625" style="659" customWidth="1"/>
    <col min="4102" max="4112" width="11.42578125" style="659"/>
    <col min="4113" max="4113" width="15.28515625" style="659" customWidth="1"/>
    <col min="4114" max="4114" width="20.5703125" style="659" customWidth="1"/>
    <col min="4115" max="4115" width="14.85546875" style="659" customWidth="1"/>
    <col min="4116" max="4116" width="14.140625" style="659" bestFit="1" customWidth="1"/>
    <col min="4117" max="4117" width="11.42578125" style="659"/>
    <col min="4118" max="4118" width="22.28515625" style="659" customWidth="1"/>
    <col min="4119" max="4352" width="11.42578125" style="659"/>
    <col min="4353" max="4353" width="47.7109375" style="659" customWidth="1"/>
    <col min="4354" max="4354" width="8.7109375" style="659" customWidth="1"/>
    <col min="4355" max="4355" width="17.140625" style="659" customWidth="1"/>
    <col min="4356" max="4356" width="2.5703125" style="659" customWidth="1"/>
    <col min="4357" max="4357" width="17.140625" style="659" customWidth="1"/>
    <col min="4358" max="4368" width="11.42578125" style="659"/>
    <col min="4369" max="4369" width="15.28515625" style="659" customWidth="1"/>
    <col min="4370" max="4370" width="20.5703125" style="659" customWidth="1"/>
    <col min="4371" max="4371" width="14.85546875" style="659" customWidth="1"/>
    <col min="4372" max="4372" width="14.140625" style="659" bestFit="1" customWidth="1"/>
    <col min="4373" max="4373" width="11.42578125" style="659"/>
    <col min="4374" max="4374" width="22.28515625" style="659" customWidth="1"/>
    <col min="4375" max="4608" width="11.42578125" style="659"/>
    <col min="4609" max="4609" width="47.7109375" style="659" customWidth="1"/>
    <col min="4610" max="4610" width="8.7109375" style="659" customWidth="1"/>
    <col min="4611" max="4611" width="17.140625" style="659" customWidth="1"/>
    <col min="4612" max="4612" width="2.5703125" style="659" customWidth="1"/>
    <col min="4613" max="4613" width="17.140625" style="659" customWidth="1"/>
    <col min="4614" max="4624" width="11.42578125" style="659"/>
    <col min="4625" max="4625" width="15.28515625" style="659" customWidth="1"/>
    <col min="4626" max="4626" width="20.5703125" style="659" customWidth="1"/>
    <col min="4627" max="4627" width="14.85546875" style="659" customWidth="1"/>
    <col min="4628" max="4628" width="14.140625" style="659" bestFit="1" customWidth="1"/>
    <col min="4629" max="4629" width="11.42578125" style="659"/>
    <col min="4630" max="4630" width="22.28515625" style="659" customWidth="1"/>
    <col min="4631" max="4864" width="11.42578125" style="659"/>
    <col min="4865" max="4865" width="47.7109375" style="659" customWidth="1"/>
    <col min="4866" max="4866" width="8.7109375" style="659" customWidth="1"/>
    <col min="4867" max="4867" width="17.140625" style="659" customWidth="1"/>
    <col min="4868" max="4868" width="2.5703125" style="659" customWidth="1"/>
    <col min="4869" max="4869" width="17.140625" style="659" customWidth="1"/>
    <col min="4870" max="4880" width="11.42578125" style="659"/>
    <col min="4881" max="4881" width="15.28515625" style="659" customWidth="1"/>
    <col min="4882" max="4882" width="20.5703125" style="659" customWidth="1"/>
    <col min="4883" max="4883" width="14.85546875" style="659" customWidth="1"/>
    <col min="4884" max="4884" width="14.140625" style="659" bestFit="1" customWidth="1"/>
    <col min="4885" max="4885" width="11.42578125" style="659"/>
    <col min="4886" max="4886" width="22.28515625" style="659" customWidth="1"/>
    <col min="4887" max="5120" width="11.42578125" style="659"/>
    <col min="5121" max="5121" width="47.7109375" style="659" customWidth="1"/>
    <col min="5122" max="5122" width="8.7109375" style="659" customWidth="1"/>
    <col min="5123" max="5123" width="17.140625" style="659" customWidth="1"/>
    <col min="5124" max="5124" width="2.5703125" style="659" customWidth="1"/>
    <col min="5125" max="5125" width="17.140625" style="659" customWidth="1"/>
    <col min="5126" max="5136" width="11.42578125" style="659"/>
    <col min="5137" max="5137" width="15.28515625" style="659" customWidth="1"/>
    <col min="5138" max="5138" width="20.5703125" style="659" customWidth="1"/>
    <col min="5139" max="5139" width="14.85546875" style="659" customWidth="1"/>
    <col min="5140" max="5140" width="14.140625" style="659" bestFit="1" customWidth="1"/>
    <col min="5141" max="5141" width="11.42578125" style="659"/>
    <col min="5142" max="5142" width="22.28515625" style="659" customWidth="1"/>
    <col min="5143" max="5376" width="11.42578125" style="659"/>
    <col min="5377" max="5377" width="47.7109375" style="659" customWidth="1"/>
    <col min="5378" max="5378" width="8.7109375" style="659" customWidth="1"/>
    <col min="5379" max="5379" width="17.140625" style="659" customWidth="1"/>
    <col min="5380" max="5380" width="2.5703125" style="659" customWidth="1"/>
    <col min="5381" max="5381" width="17.140625" style="659" customWidth="1"/>
    <col min="5382" max="5392" width="11.42578125" style="659"/>
    <col min="5393" max="5393" width="15.28515625" style="659" customWidth="1"/>
    <col min="5394" max="5394" width="20.5703125" style="659" customWidth="1"/>
    <col min="5395" max="5395" width="14.85546875" style="659" customWidth="1"/>
    <col min="5396" max="5396" width="14.140625" style="659" bestFit="1" customWidth="1"/>
    <col min="5397" max="5397" width="11.42578125" style="659"/>
    <col min="5398" max="5398" width="22.28515625" style="659" customWidth="1"/>
    <col min="5399" max="5632" width="11.42578125" style="659"/>
    <col min="5633" max="5633" width="47.7109375" style="659" customWidth="1"/>
    <col min="5634" max="5634" width="8.7109375" style="659" customWidth="1"/>
    <col min="5635" max="5635" width="17.140625" style="659" customWidth="1"/>
    <col min="5636" max="5636" width="2.5703125" style="659" customWidth="1"/>
    <col min="5637" max="5637" width="17.140625" style="659" customWidth="1"/>
    <col min="5638" max="5648" width="11.42578125" style="659"/>
    <col min="5649" max="5649" width="15.28515625" style="659" customWidth="1"/>
    <col min="5650" max="5650" width="20.5703125" style="659" customWidth="1"/>
    <col min="5651" max="5651" width="14.85546875" style="659" customWidth="1"/>
    <col min="5652" max="5652" width="14.140625" style="659" bestFit="1" customWidth="1"/>
    <col min="5653" max="5653" width="11.42578125" style="659"/>
    <col min="5654" max="5654" width="22.28515625" style="659" customWidth="1"/>
    <col min="5655" max="5888" width="11.42578125" style="659"/>
    <col min="5889" max="5889" width="47.7109375" style="659" customWidth="1"/>
    <col min="5890" max="5890" width="8.7109375" style="659" customWidth="1"/>
    <col min="5891" max="5891" width="17.140625" style="659" customWidth="1"/>
    <col min="5892" max="5892" width="2.5703125" style="659" customWidth="1"/>
    <col min="5893" max="5893" width="17.140625" style="659" customWidth="1"/>
    <col min="5894" max="5904" width="11.42578125" style="659"/>
    <col min="5905" max="5905" width="15.28515625" style="659" customWidth="1"/>
    <col min="5906" max="5906" width="20.5703125" style="659" customWidth="1"/>
    <col min="5907" max="5907" width="14.85546875" style="659" customWidth="1"/>
    <col min="5908" max="5908" width="14.140625" style="659" bestFit="1" customWidth="1"/>
    <col min="5909" max="5909" width="11.42578125" style="659"/>
    <col min="5910" max="5910" width="22.28515625" style="659" customWidth="1"/>
    <col min="5911" max="6144" width="11.42578125" style="659"/>
    <col min="6145" max="6145" width="47.7109375" style="659" customWidth="1"/>
    <col min="6146" max="6146" width="8.7109375" style="659" customWidth="1"/>
    <col min="6147" max="6147" width="17.140625" style="659" customWidth="1"/>
    <col min="6148" max="6148" width="2.5703125" style="659" customWidth="1"/>
    <col min="6149" max="6149" width="17.140625" style="659" customWidth="1"/>
    <col min="6150" max="6160" width="11.42578125" style="659"/>
    <col min="6161" max="6161" width="15.28515625" style="659" customWidth="1"/>
    <col min="6162" max="6162" width="20.5703125" style="659" customWidth="1"/>
    <col min="6163" max="6163" width="14.85546875" style="659" customWidth="1"/>
    <col min="6164" max="6164" width="14.140625" style="659" bestFit="1" customWidth="1"/>
    <col min="6165" max="6165" width="11.42578125" style="659"/>
    <col min="6166" max="6166" width="22.28515625" style="659" customWidth="1"/>
    <col min="6167" max="6400" width="11.42578125" style="659"/>
    <col min="6401" max="6401" width="47.7109375" style="659" customWidth="1"/>
    <col min="6402" max="6402" width="8.7109375" style="659" customWidth="1"/>
    <col min="6403" max="6403" width="17.140625" style="659" customWidth="1"/>
    <col min="6404" max="6404" width="2.5703125" style="659" customWidth="1"/>
    <col min="6405" max="6405" width="17.140625" style="659" customWidth="1"/>
    <col min="6406" max="6416" width="11.42578125" style="659"/>
    <col min="6417" max="6417" width="15.28515625" style="659" customWidth="1"/>
    <col min="6418" max="6418" width="20.5703125" style="659" customWidth="1"/>
    <col min="6419" max="6419" width="14.85546875" style="659" customWidth="1"/>
    <col min="6420" max="6420" width="14.140625" style="659" bestFit="1" customWidth="1"/>
    <col min="6421" max="6421" width="11.42578125" style="659"/>
    <col min="6422" max="6422" width="22.28515625" style="659" customWidth="1"/>
    <col min="6423" max="6656" width="11.42578125" style="659"/>
    <col min="6657" max="6657" width="47.7109375" style="659" customWidth="1"/>
    <col min="6658" max="6658" width="8.7109375" style="659" customWidth="1"/>
    <col min="6659" max="6659" width="17.140625" style="659" customWidth="1"/>
    <col min="6660" max="6660" width="2.5703125" style="659" customWidth="1"/>
    <col min="6661" max="6661" width="17.140625" style="659" customWidth="1"/>
    <col min="6662" max="6672" width="11.42578125" style="659"/>
    <col min="6673" max="6673" width="15.28515625" style="659" customWidth="1"/>
    <col min="6674" max="6674" width="20.5703125" style="659" customWidth="1"/>
    <col min="6675" max="6675" width="14.85546875" style="659" customWidth="1"/>
    <col min="6676" max="6676" width="14.140625" style="659" bestFit="1" customWidth="1"/>
    <col min="6677" max="6677" width="11.42578125" style="659"/>
    <col min="6678" max="6678" width="22.28515625" style="659" customWidth="1"/>
    <col min="6679" max="6912" width="11.42578125" style="659"/>
    <col min="6913" max="6913" width="47.7109375" style="659" customWidth="1"/>
    <col min="6914" max="6914" width="8.7109375" style="659" customWidth="1"/>
    <col min="6915" max="6915" width="17.140625" style="659" customWidth="1"/>
    <col min="6916" max="6916" width="2.5703125" style="659" customWidth="1"/>
    <col min="6917" max="6917" width="17.140625" style="659" customWidth="1"/>
    <col min="6918" max="6928" width="11.42578125" style="659"/>
    <col min="6929" max="6929" width="15.28515625" style="659" customWidth="1"/>
    <col min="6930" max="6930" width="20.5703125" style="659" customWidth="1"/>
    <col min="6931" max="6931" width="14.85546875" style="659" customWidth="1"/>
    <col min="6932" max="6932" width="14.140625" style="659" bestFit="1" customWidth="1"/>
    <col min="6933" max="6933" width="11.42578125" style="659"/>
    <col min="6934" max="6934" width="22.28515625" style="659" customWidth="1"/>
    <col min="6935" max="7168" width="11.42578125" style="659"/>
    <col min="7169" max="7169" width="47.7109375" style="659" customWidth="1"/>
    <col min="7170" max="7170" width="8.7109375" style="659" customWidth="1"/>
    <col min="7171" max="7171" width="17.140625" style="659" customWidth="1"/>
    <col min="7172" max="7172" width="2.5703125" style="659" customWidth="1"/>
    <col min="7173" max="7173" width="17.140625" style="659" customWidth="1"/>
    <col min="7174" max="7184" width="11.42578125" style="659"/>
    <col min="7185" max="7185" width="15.28515625" style="659" customWidth="1"/>
    <col min="7186" max="7186" width="20.5703125" style="659" customWidth="1"/>
    <col min="7187" max="7187" width="14.85546875" style="659" customWidth="1"/>
    <col min="7188" max="7188" width="14.140625" style="659" bestFit="1" customWidth="1"/>
    <col min="7189" max="7189" width="11.42578125" style="659"/>
    <col min="7190" max="7190" width="22.28515625" style="659" customWidth="1"/>
    <col min="7191" max="7424" width="11.42578125" style="659"/>
    <col min="7425" max="7425" width="47.7109375" style="659" customWidth="1"/>
    <col min="7426" max="7426" width="8.7109375" style="659" customWidth="1"/>
    <col min="7427" max="7427" width="17.140625" style="659" customWidth="1"/>
    <col min="7428" max="7428" width="2.5703125" style="659" customWidth="1"/>
    <col min="7429" max="7429" width="17.140625" style="659" customWidth="1"/>
    <col min="7430" max="7440" width="11.42578125" style="659"/>
    <col min="7441" max="7441" width="15.28515625" style="659" customWidth="1"/>
    <col min="7442" max="7442" width="20.5703125" style="659" customWidth="1"/>
    <col min="7443" max="7443" width="14.85546875" style="659" customWidth="1"/>
    <col min="7444" max="7444" width="14.140625" style="659" bestFit="1" customWidth="1"/>
    <col min="7445" max="7445" width="11.42578125" style="659"/>
    <col min="7446" max="7446" width="22.28515625" style="659" customWidth="1"/>
    <col min="7447" max="7680" width="11.42578125" style="659"/>
    <col min="7681" max="7681" width="47.7109375" style="659" customWidth="1"/>
    <col min="7682" max="7682" width="8.7109375" style="659" customWidth="1"/>
    <col min="7683" max="7683" width="17.140625" style="659" customWidth="1"/>
    <col min="7684" max="7684" width="2.5703125" style="659" customWidth="1"/>
    <col min="7685" max="7685" width="17.140625" style="659" customWidth="1"/>
    <col min="7686" max="7696" width="11.42578125" style="659"/>
    <col min="7697" max="7697" width="15.28515625" style="659" customWidth="1"/>
    <col min="7698" max="7698" width="20.5703125" style="659" customWidth="1"/>
    <col min="7699" max="7699" width="14.85546875" style="659" customWidth="1"/>
    <col min="7700" max="7700" width="14.140625" style="659" bestFit="1" customWidth="1"/>
    <col min="7701" max="7701" width="11.42578125" style="659"/>
    <col min="7702" max="7702" width="22.28515625" style="659" customWidth="1"/>
    <col min="7703" max="7936" width="11.42578125" style="659"/>
    <col min="7937" max="7937" width="47.7109375" style="659" customWidth="1"/>
    <col min="7938" max="7938" width="8.7109375" style="659" customWidth="1"/>
    <col min="7939" max="7939" width="17.140625" style="659" customWidth="1"/>
    <col min="7940" max="7940" width="2.5703125" style="659" customWidth="1"/>
    <col min="7941" max="7941" width="17.140625" style="659" customWidth="1"/>
    <col min="7942" max="7952" width="11.42578125" style="659"/>
    <col min="7953" max="7953" width="15.28515625" style="659" customWidth="1"/>
    <col min="7954" max="7954" width="20.5703125" style="659" customWidth="1"/>
    <col min="7955" max="7955" width="14.85546875" style="659" customWidth="1"/>
    <col min="7956" max="7956" width="14.140625" style="659" bestFit="1" customWidth="1"/>
    <col min="7957" max="7957" width="11.42578125" style="659"/>
    <col min="7958" max="7958" width="22.28515625" style="659" customWidth="1"/>
    <col min="7959" max="8192" width="11.42578125" style="659"/>
    <col min="8193" max="8193" width="47.7109375" style="659" customWidth="1"/>
    <col min="8194" max="8194" width="8.7109375" style="659" customWidth="1"/>
    <col min="8195" max="8195" width="17.140625" style="659" customWidth="1"/>
    <col min="8196" max="8196" width="2.5703125" style="659" customWidth="1"/>
    <col min="8197" max="8197" width="17.140625" style="659" customWidth="1"/>
    <col min="8198" max="8208" width="11.42578125" style="659"/>
    <col min="8209" max="8209" width="15.28515625" style="659" customWidth="1"/>
    <col min="8210" max="8210" width="20.5703125" style="659" customWidth="1"/>
    <col min="8211" max="8211" width="14.85546875" style="659" customWidth="1"/>
    <col min="8212" max="8212" width="14.140625" style="659" bestFit="1" customWidth="1"/>
    <col min="8213" max="8213" width="11.42578125" style="659"/>
    <col min="8214" max="8214" width="22.28515625" style="659" customWidth="1"/>
    <col min="8215" max="8448" width="11.42578125" style="659"/>
    <col min="8449" max="8449" width="47.7109375" style="659" customWidth="1"/>
    <col min="8450" max="8450" width="8.7109375" style="659" customWidth="1"/>
    <col min="8451" max="8451" width="17.140625" style="659" customWidth="1"/>
    <col min="8452" max="8452" width="2.5703125" style="659" customWidth="1"/>
    <col min="8453" max="8453" width="17.140625" style="659" customWidth="1"/>
    <col min="8454" max="8464" width="11.42578125" style="659"/>
    <col min="8465" max="8465" width="15.28515625" style="659" customWidth="1"/>
    <col min="8466" max="8466" width="20.5703125" style="659" customWidth="1"/>
    <col min="8467" max="8467" width="14.85546875" style="659" customWidth="1"/>
    <col min="8468" max="8468" width="14.140625" style="659" bestFit="1" customWidth="1"/>
    <col min="8469" max="8469" width="11.42578125" style="659"/>
    <col min="8470" max="8470" width="22.28515625" style="659" customWidth="1"/>
    <col min="8471" max="8704" width="11.42578125" style="659"/>
    <col min="8705" max="8705" width="47.7109375" style="659" customWidth="1"/>
    <col min="8706" max="8706" width="8.7109375" style="659" customWidth="1"/>
    <col min="8707" max="8707" width="17.140625" style="659" customWidth="1"/>
    <col min="8708" max="8708" width="2.5703125" style="659" customWidth="1"/>
    <col min="8709" max="8709" width="17.140625" style="659" customWidth="1"/>
    <col min="8710" max="8720" width="11.42578125" style="659"/>
    <col min="8721" max="8721" width="15.28515625" style="659" customWidth="1"/>
    <col min="8722" max="8722" width="20.5703125" style="659" customWidth="1"/>
    <col min="8723" max="8723" width="14.85546875" style="659" customWidth="1"/>
    <col min="8724" max="8724" width="14.140625" style="659" bestFit="1" customWidth="1"/>
    <col min="8725" max="8725" width="11.42578125" style="659"/>
    <col min="8726" max="8726" width="22.28515625" style="659" customWidth="1"/>
    <col min="8727" max="8960" width="11.42578125" style="659"/>
    <col min="8961" max="8961" width="47.7109375" style="659" customWidth="1"/>
    <col min="8962" max="8962" width="8.7109375" style="659" customWidth="1"/>
    <col min="8963" max="8963" width="17.140625" style="659" customWidth="1"/>
    <col min="8964" max="8964" width="2.5703125" style="659" customWidth="1"/>
    <col min="8965" max="8965" width="17.140625" style="659" customWidth="1"/>
    <col min="8966" max="8976" width="11.42578125" style="659"/>
    <col min="8977" max="8977" width="15.28515625" style="659" customWidth="1"/>
    <col min="8978" max="8978" width="20.5703125" style="659" customWidth="1"/>
    <col min="8979" max="8979" width="14.85546875" style="659" customWidth="1"/>
    <col min="8980" max="8980" width="14.140625" style="659" bestFit="1" customWidth="1"/>
    <col min="8981" max="8981" width="11.42578125" style="659"/>
    <col min="8982" max="8982" width="22.28515625" style="659" customWidth="1"/>
    <col min="8983" max="9216" width="11.42578125" style="659"/>
    <col min="9217" max="9217" width="47.7109375" style="659" customWidth="1"/>
    <col min="9218" max="9218" width="8.7109375" style="659" customWidth="1"/>
    <col min="9219" max="9219" width="17.140625" style="659" customWidth="1"/>
    <col min="9220" max="9220" width="2.5703125" style="659" customWidth="1"/>
    <col min="9221" max="9221" width="17.140625" style="659" customWidth="1"/>
    <col min="9222" max="9232" width="11.42578125" style="659"/>
    <col min="9233" max="9233" width="15.28515625" style="659" customWidth="1"/>
    <col min="9234" max="9234" width="20.5703125" style="659" customWidth="1"/>
    <col min="9235" max="9235" width="14.85546875" style="659" customWidth="1"/>
    <col min="9236" max="9236" width="14.140625" style="659" bestFit="1" customWidth="1"/>
    <col min="9237" max="9237" width="11.42578125" style="659"/>
    <col min="9238" max="9238" width="22.28515625" style="659" customWidth="1"/>
    <col min="9239" max="9472" width="11.42578125" style="659"/>
    <col min="9473" max="9473" width="47.7109375" style="659" customWidth="1"/>
    <col min="9474" max="9474" width="8.7109375" style="659" customWidth="1"/>
    <col min="9475" max="9475" width="17.140625" style="659" customWidth="1"/>
    <col min="9476" max="9476" width="2.5703125" style="659" customWidth="1"/>
    <col min="9477" max="9477" width="17.140625" style="659" customWidth="1"/>
    <col min="9478" max="9488" width="11.42578125" style="659"/>
    <col min="9489" max="9489" width="15.28515625" style="659" customWidth="1"/>
    <col min="9490" max="9490" width="20.5703125" style="659" customWidth="1"/>
    <col min="9491" max="9491" width="14.85546875" style="659" customWidth="1"/>
    <col min="9492" max="9492" width="14.140625" style="659" bestFit="1" customWidth="1"/>
    <col min="9493" max="9493" width="11.42578125" style="659"/>
    <col min="9494" max="9494" width="22.28515625" style="659" customWidth="1"/>
    <col min="9495" max="9728" width="11.42578125" style="659"/>
    <col min="9729" max="9729" width="47.7109375" style="659" customWidth="1"/>
    <col min="9730" max="9730" width="8.7109375" style="659" customWidth="1"/>
    <col min="9731" max="9731" width="17.140625" style="659" customWidth="1"/>
    <col min="9732" max="9732" width="2.5703125" style="659" customWidth="1"/>
    <col min="9733" max="9733" width="17.140625" style="659" customWidth="1"/>
    <col min="9734" max="9744" width="11.42578125" style="659"/>
    <col min="9745" max="9745" width="15.28515625" style="659" customWidth="1"/>
    <col min="9746" max="9746" width="20.5703125" style="659" customWidth="1"/>
    <col min="9747" max="9747" width="14.85546875" style="659" customWidth="1"/>
    <col min="9748" max="9748" width="14.140625" style="659" bestFit="1" customWidth="1"/>
    <col min="9749" max="9749" width="11.42578125" style="659"/>
    <col min="9750" max="9750" width="22.28515625" style="659" customWidth="1"/>
    <col min="9751" max="9984" width="11.42578125" style="659"/>
    <col min="9985" max="9985" width="47.7109375" style="659" customWidth="1"/>
    <col min="9986" max="9986" width="8.7109375" style="659" customWidth="1"/>
    <col min="9987" max="9987" width="17.140625" style="659" customWidth="1"/>
    <col min="9988" max="9988" width="2.5703125" style="659" customWidth="1"/>
    <col min="9989" max="9989" width="17.140625" style="659" customWidth="1"/>
    <col min="9990" max="10000" width="11.42578125" style="659"/>
    <col min="10001" max="10001" width="15.28515625" style="659" customWidth="1"/>
    <col min="10002" max="10002" width="20.5703125" style="659" customWidth="1"/>
    <col min="10003" max="10003" width="14.85546875" style="659" customWidth="1"/>
    <col min="10004" max="10004" width="14.140625" style="659" bestFit="1" customWidth="1"/>
    <col min="10005" max="10005" width="11.42578125" style="659"/>
    <col min="10006" max="10006" width="22.28515625" style="659" customWidth="1"/>
    <col min="10007" max="10240" width="11.42578125" style="659"/>
    <col min="10241" max="10241" width="47.7109375" style="659" customWidth="1"/>
    <col min="10242" max="10242" width="8.7109375" style="659" customWidth="1"/>
    <col min="10243" max="10243" width="17.140625" style="659" customWidth="1"/>
    <col min="10244" max="10244" width="2.5703125" style="659" customWidth="1"/>
    <col min="10245" max="10245" width="17.140625" style="659" customWidth="1"/>
    <col min="10246" max="10256" width="11.42578125" style="659"/>
    <col min="10257" max="10257" width="15.28515625" style="659" customWidth="1"/>
    <col min="10258" max="10258" width="20.5703125" style="659" customWidth="1"/>
    <col min="10259" max="10259" width="14.85546875" style="659" customWidth="1"/>
    <col min="10260" max="10260" width="14.140625" style="659" bestFit="1" customWidth="1"/>
    <col min="10261" max="10261" width="11.42578125" style="659"/>
    <col min="10262" max="10262" width="22.28515625" style="659" customWidth="1"/>
    <col min="10263" max="10496" width="11.42578125" style="659"/>
    <col min="10497" max="10497" width="47.7109375" style="659" customWidth="1"/>
    <col min="10498" max="10498" width="8.7109375" style="659" customWidth="1"/>
    <col min="10499" max="10499" width="17.140625" style="659" customWidth="1"/>
    <col min="10500" max="10500" width="2.5703125" style="659" customWidth="1"/>
    <col min="10501" max="10501" width="17.140625" style="659" customWidth="1"/>
    <col min="10502" max="10512" width="11.42578125" style="659"/>
    <col min="10513" max="10513" width="15.28515625" style="659" customWidth="1"/>
    <col min="10514" max="10514" width="20.5703125" style="659" customWidth="1"/>
    <col min="10515" max="10515" width="14.85546875" style="659" customWidth="1"/>
    <col min="10516" max="10516" width="14.140625" style="659" bestFit="1" customWidth="1"/>
    <col min="10517" max="10517" width="11.42578125" style="659"/>
    <col min="10518" max="10518" width="22.28515625" style="659" customWidth="1"/>
    <col min="10519" max="10752" width="11.42578125" style="659"/>
    <col min="10753" max="10753" width="47.7109375" style="659" customWidth="1"/>
    <col min="10754" max="10754" width="8.7109375" style="659" customWidth="1"/>
    <col min="10755" max="10755" width="17.140625" style="659" customWidth="1"/>
    <col min="10756" max="10756" width="2.5703125" style="659" customWidth="1"/>
    <col min="10757" max="10757" width="17.140625" style="659" customWidth="1"/>
    <col min="10758" max="10768" width="11.42578125" style="659"/>
    <col min="10769" max="10769" width="15.28515625" style="659" customWidth="1"/>
    <col min="10770" max="10770" width="20.5703125" style="659" customWidth="1"/>
    <col min="10771" max="10771" width="14.85546875" style="659" customWidth="1"/>
    <col min="10772" max="10772" width="14.140625" style="659" bestFit="1" customWidth="1"/>
    <col min="10773" max="10773" width="11.42578125" style="659"/>
    <col min="10774" max="10774" width="22.28515625" style="659" customWidth="1"/>
    <col min="10775" max="11008" width="11.42578125" style="659"/>
    <col min="11009" max="11009" width="47.7109375" style="659" customWidth="1"/>
    <col min="11010" max="11010" width="8.7109375" style="659" customWidth="1"/>
    <col min="11011" max="11011" width="17.140625" style="659" customWidth="1"/>
    <col min="11012" max="11012" width="2.5703125" style="659" customWidth="1"/>
    <col min="11013" max="11013" width="17.140625" style="659" customWidth="1"/>
    <col min="11014" max="11024" width="11.42578125" style="659"/>
    <col min="11025" max="11025" width="15.28515625" style="659" customWidth="1"/>
    <col min="11026" max="11026" width="20.5703125" style="659" customWidth="1"/>
    <col min="11027" max="11027" width="14.85546875" style="659" customWidth="1"/>
    <col min="11028" max="11028" width="14.140625" style="659" bestFit="1" customWidth="1"/>
    <col min="11029" max="11029" width="11.42578125" style="659"/>
    <col min="11030" max="11030" width="22.28515625" style="659" customWidth="1"/>
    <col min="11031" max="11264" width="11.42578125" style="659"/>
    <col min="11265" max="11265" width="47.7109375" style="659" customWidth="1"/>
    <col min="11266" max="11266" width="8.7109375" style="659" customWidth="1"/>
    <col min="11267" max="11267" width="17.140625" style="659" customWidth="1"/>
    <col min="11268" max="11268" width="2.5703125" style="659" customWidth="1"/>
    <col min="11269" max="11269" width="17.140625" style="659" customWidth="1"/>
    <col min="11270" max="11280" width="11.42578125" style="659"/>
    <col min="11281" max="11281" width="15.28515625" style="659" customWidth="1"/>
    <col min="11282" max="11282" width="20.5703125" style="659" customWidth="1"/>
    <col min="11283" max="11283" width="14.85546875" style="659" customWidth="1"/>
    <col min="11284" max="11284" width="14.140625" style="659" bestFit="1" customWidth="1"/>
    <col min="11285" max="11285" width="11.42578125" style="659"/>
    <col min="11286" max="11286" width="22.28515625" style="659" customWidth="1"/>
    <col min="11287" max="11520" width="11.42578125" style="659"/>
    <col min="11521" max="11521" width="47.7109375" style="659" customWidth="1"/>
    <col min="11522" max="11522" width="8.7109375" style="659" customWidth="1"/>
    <col min="11523" max="11523" width="17.140625" style="659" customWidth="1"/>
    <col min="11524" max="11524" width="2.5703125" style="659" customWidth="1"/>
    <col min="11525" max="11525" width="17.140625" style="659" customWidth="1"/>
    <col min="11526" max="11536" width="11.42578125" style="659"/>
    <col min="11537" max="11537" width="15.28515625" style="659" customWidth="1"/>
    <col min="11538" max="11538" width="20.5703125" style="659" customWidth="1"/>
    <col min="11539" max="11539" width="14.85546875" style="659" customWidth="1"/>
    <col min="11540" max="11540" width="14.140625" style="659" bestFit="1" customWidth="1"/>
    <col min="11541" max="11541" width="11.42578125" style="659"/>
    <col min="11542" max="11542" width="22.28515625" style="659" customWidth="1"/>
    <col min="11543" max="11776" width="11.42578125" style="659"/>
    <col min="11777" max="11777" width="47.7109375" style="659" customWidth="1"/>
    <col min="11778" max="11778" width="8.7109375" style="659" customWidth="1"/>
    <col min="11779" max="11779" width="17.140625" style="659" customWidth="1"/>
    <col min="11780" max="11780" width="2.5703125" style="659" customWidth="1"/>
    <col min="11781" max="11781" width="17.140625" style="659" customWidth="1"/>
    <col min="11782" max="11792" width="11.42578125" style="659"/>
    <col min="11793" max="11793" width="15.28515625" style="659" customWidth="1"/>
    <col min="11794" max="11794" width="20.5703125" style="659" customWidth="1"/>
    <col min="11795" max="11795" width="14.85546875" style="659" customWidth="1"/>
    <col min="11796" max="11796" width="14.140625" style="659" bestFit="1" customWidth="1"/>
    <col min="11797" max="11797" width="11.42578125" style="659"/>
    <col min="11798" max="11798" width="22.28515625" style="659" customWidth="1"/>
    <col min="11799" max="12032" width="11.42578125" style="659"/>
    <col min="12033" max="12033" width="47.7109375" style="659" customWidth="1"/>
    <col min="12034" max="12034" width="8.7109375" style="659" customWidth="1"/>
    <col min="12035" max="12035" width="17.140625" style="659" customWidth="1"/>
    <col min="12036" max="12036" width="2.5703125" style="659" customWidth="1"/>
    <col min="12037" max="12037" width="17.140625" style="659" customWidth="1"/>
    <col min="12038" max="12048" width="11.42578125" style="659"/>
    <col min="12049" max="12049" width="15.28515625" style="659" customWidth="1"/>
    <col min="12050" max="12050" width="20.5703125" style="659" customWidth="1"/>
    <col min="12051" max="12051" width="14.85546875" style="659" customWidth="1"/>
    <col min="12052" max="12052" width="14.140625" style="659" bestFit="1" customWidth="1"/>
    <col min="12053" max="12053" width="11.42578125" style="659"/>
    <col min="12054" max="12054" width="22.28515625" style="659" customWidth="1"/>
    <col min="12055" max="12288" width="11.42578125" style="659"/>
    <col min="12289" max="12289" width="47.7109375" style="659" customWidth="1"/>
    <col min="12290" max="12290" width="8.7109375" style="659" customWidth="1"/>
    <col min="12291" max="12291" width="17.140625" style="659" customWidth="1"/>
    <col min="12292" max="12292" width="2.5703125" style="659" customWidth="1"/>
    <col min="12293" max="12293" width="17.140625" style="659" customWidth="1"/>
    <col min="12294" max="12304" width="11.42578125" style="659"/>
    <col min="12305" max="12305" width="15.28515625" style="659" customWidth="1"/>
    <col min="12306" max="12306" width="20.5703125" style="659" customWidth="1"/>
    <col min="12307" max="12307" width="14.85546875" style="659" customWidth="1"/>
    <col min="12308" max="12308" width="14.140625" style="659" bestFit="1" customWidth="1"/>
    <col min="12309" max="12309" width="11.42578125" style="659"/>
    <col min="12310" max="12310" width="22.28515625" style="659" customWidth="1"/>
    <col min="12311" max="12544" width="11.42578125" style="659"/>
    <col min="12545" max="12545" width="47.7109375" style="659" customWidth="1"/>
    <col min="12546" max="12546" width="8.7109375" style="659" customWidth="1"/>
    <col min="12547" max="12547" width="17.140625" style="659" customWidth="1"/>
    <col min="12548" max="12548" width="2.5703125" style="659" customWidth="1"/>
    <col min="12549" max="12549" width="17.140625" style="659" customWidth="1"/>
    <col min="12550" max="12560" width="11.42578125" style="659"/>
    <col min="12561" max="12561" width="15.28515625" style="659" customWidth="1"/>
    <col min="12562" max="12562" width="20.5703125" style="659" customWidth="1"/>
    <col min="12563" max="12563" width="14.85546875" style="659" customWidth="1"/>
    <col min="12564" max="12564" width="14.140625" style="659" bestFit="1" customWidth="1"/>
    <col min="12565" max="12565" width="11.42578125" style="659"/>
    <col min="12566" max="12566" width="22.28515625" style="659" customWidth="1"/>
    <col min="12567" max="12800" width="11.42578125" style="659"/>
    <col min="12801" max="12801" width="47.7109375" style="659" customWidth="1"/>
    <col min="12802" max="12802" width="8.7109375" style="659" customWidth="1"/>
    <col min="12803" max="12803" width="17.140625" style="659" customWidth="1"/>
    <col min="12804" max="12804" width="2.5703125" style="659" customWidth="1"/>
    <col min="12805" max="12805" width="17.140625" style="659" customWidth="1"/>
    <col min="12806" max="12816" width="11.42578125" style="659"/>
    <col min="12817" max="12817" width="15.28515625" style="659" customWidth="1"/>
    <col min="12818" max="12818" width="20.5703125" style="659" customWidth="1"/>
    <col min="12819" max="12819" width="14.85546875" style="659" customWidth="1"/>
    <col min="12820" max="12820" width="14.140625" style="659" bestFit="1" customWidth="1"/>
    <col min="12821" max="12821" width="11.42578125" style="659"/>
    <col min="12822" max="12822" width="22.28515625" style="659" customWidth="1"/>
    <col min="12823" max="13056" width="11.42578125" style="659"/>
    <col min="13057" max="13057" width="47.7109375" style="659" customWidth="1"/>
    <col min="13058" max="13058" width="8.7109375" style="659" customWidth="1"/>
    <col min="13059" max="13059" width="17.140625" style="659" customWidth="1"/>
    <col min="13060" max="13060" width="2.5703125" style="659" customWidth="1"/>
    <col min="13061" max="13061" width="17.140625" style="659" customWidth="1"/>
    <col min="13062" max="13072" width="11.42578125" style="659"/>
    <col min="13073" max="13073" width="15.28515625" style="659" customWidth="1"/>
    <col min="13074" max="13074" width="20.5703125" style="659" customWidth="1"/>
    <col min="13075" max="13075" width="14.85546875" style="659" customWidth="1"/>
    <col min="13076" max="13076" width="14.140625" style="659" bestFit="1" customWidth="1"/>
    <col min="13077" max="13077" width="11.42578125" style="659"/>
    <col min="13078" max="13078" width="22.28515625" style="659" customWidth="1"/>
    <col min="13079" max="13312" width="11.42578125" style="659"/>
    <col min="13313" max="13313" width="47.7109375" style="659" customWidth="1"/>
    <col min="13314" max="13314" width="8.7109375" style="659" customWidth="1"/>
    <col min="13315" max="13315" width="17.140625" style="659" customWidth="1"/>
    <col min="13316" max="13316" width="2.5703125" style="659" customWidth="1"/>
    <col min="13317" max="13317" width="17.140625" style="659" customWidth="1"/>
    <col min="13318" max="13328" width="11.42578125" style="659"/>
    <col min="13329" max="13329" width="15.28515625" style="659" customWidth="1"/>
    <col min="13330" max="13330" width="20.5703125" style="659" customWidth="1"/>
    <col min="13331" max="13331" width="14.85546875" style="659" customWidth="1"/>
    <col min="13332" max="13332" width="14.140625" style="659" bestFit="1" customWidth="1"/>
    <col min="13333" max="13333" width="11.42578125" style="659"/>
    <col min="13334" max="13334" width="22.28515625" style="659" customWidth="1"/>
    <col min="13335" max="13568" width="11.42578125" style="659"/>
    <col min="13569" max="13569" width="47.7109375" style="659" customWidth="1"/>
    <col min="13570" max="13570" width="8.7109375" style="659" customWidth="1"/>
    <col min="13571" max="13571" width="17.140625" style="659" customWidth="1"/>
    <col min="13572" max="13572" width="2.5703125" style="659" customWidth="1"/>
    <col min="13573" max="13573" width="17.140625" style="659" customWidth="1"/>
    <col min="13574" max="13584" width="11.42578125" style="659"/>
    <col min="13585" max="13585" width="15.28515625" style="659" customWidth="1"/>
    <col min="13586" max="13586" width="20.5703125" style="659" customWidth="1"/>
    <col min="13587" max="13587" width="14.85546875" style="659" customWidth="1"/>
    <col min="13588" max="13588" width="14.140625" style="659" bestFit="1" customWidth="1"/>
    <col min="13589" max="13589" width="11.42578125" style="659"/>
    <col min="13590" max="13590" width="22.28515625" style="659" customWidth="1"/>
    <col min="13591" max="13824" width="11.42578125" style="659"/>
    <col min="13825" max="13825" width="47.7109375" style="659" customWidth="1"/>
    <col min="13826" max="13826" width="8.7109375" style="659" customWidth="1"/>
    <col min="13827" max="13827" width="17.140625" style="659" customWidth="1"/>
    <col min="13828" max="13828" width="2.5703125" style="659" customWidth="1"/>
    <col min="13829" max="13829" width="17.140625" style="659" customWidth="1"/>
    <col min="13830" max="13840" width="11.42578125" style="659"/>
    <col min="13841" max="13841" width="15.28515625" style="659" customWidth="1"/>
    <col min="13842" max="13842" width="20.5703125" style="659" customWidth="1"/>
    <col min="13843" max="13843" width="14.85546875" style="659" customWidth="1"/>
    <col min="13844" max="13844" width="14.140625" style="659" bestFit="1" customWidth="1"/>
    <col min="13845" max="13845" width="11.42578125" style="659"/>
    <col min="13846" max="13846" width="22.28515625" style="659" customWidth="1"/>
    <col min="13847" max="14080" width="11.42578125" style="659"/>
    <col min="14081" max="14081" width="47.7109375" style="659" customWidth="1"/>
    <col min="14082" max="14082" width="8.7109375" style="659" customWidth="1"/>
    <col min="14083" max="14083" width="17.140625" style="659" customWidth="1"/>
    <col min="14084" max="14084" width="2.5703125" style="659" customWidth="1"/>
    <col min="14085" max="14085" width="17.140625" style="659" customWidth="1"/>
    <col min="14086" max="14096" width="11.42578125" style="659"/>
    <col min="14097" max="14097" width="15.28515625" style="659" customWidth="1"/>
    <col min="14098" max="14098" width="20.5703125" style="659" customWidth="1"/>
    <col min="14099" max="14099" width="14.85546875" style="659" customWidth="1"/>
    <col min="14100" max="14100" width="14.140625" style="659" bestFit="1" customWidth="1"/>
    <col min="14101" max="14101" width="11.42578125" style="659"/>
    <col min="14102" max="14102" width="22.28515625" style="659" customWidth="1"/>
    <col min="14103" max="14336" width="11.42578125" style="659"/>
    <col min="14337" max="14337" width="47.7109375" style="659" customWidth="1"/>
    <col min="14338" max="14338" width="8.7109375" style="659" customWidth="1"/>
    <col min="14339" max="14339" width="17.140625" style="659" customWidth="1"/>
    <col min="14340" max="14340" width="2.5703125" style="659" customWidth="1"/>
    <col min="14341" max="14341" width="17.140625" style="659" customWidth="1"/>
    <col min="14342" max="14352" width="11.42578125" style="659"/>
    <col min="14353" max="14353" width="15.28515625" style="659" customWidth="1"/>
    <col min="14354" max="14354" width="20.5703125" style="659" customWidth="1"/>
    <col min="14355" max="14355" width="14.85546875" style="659" customWidth="1"/>
    <col min="14356" max="14356" width="14.140625" style="659" bestFit="1" customWidth="1"/>
    <col min="14357" max="14357" width="11.42578125" style="659"/>
    <col min="14358" max="14358" width="22.28515625" style="659" customWidth="1"/>
    <col min="14359" max="14592" width="11.42578125" style="659"/>
    <col min="14593" max="14593" width="47.7109375" style="659" customWidth="1"/>
    <col min="14594" max="14594" width="8.7109375" style="659" customWidth="1"/>
    <col min="14595" max="14595" width="17.140625" style="659" customWidth="1"/>
    <col min="14596" max="14596" width="2.5703125" style="659" customWidth="1"/>
    <col min="14597" max="14597" width="17.140625" style="659" customWidth="1"/>
    <col min="14598" max="14608" width="11.42578125" style="659"/>
    <col min="14609" max="14609" width="15.28515625" style="659" customWidth="1"/>
    <col min="14610" max="14610" width="20.5703125" style="659" customWidth="1"/>
    <col min="14611" max="14611" width="14.85546875" style="659" customWidth="1"/>
    <col min="14612" max="14612" width="14.140625" style="659" bestFit="1" customWidth="1"/>
    <col min="14613" max="14613" width="11.42578125" style="659"/>
    <col min="14614" max="14614" width="22.28515625" style="659" customWidth="1"/>
    <col min="14615" max="14848" width="11.42578125" style="659"/>
    <col min="14849" max="14849" width="47.7109375" style="659" customWidth="1"/>
    <col min="14850" max="14850" width="8.7109375" style="659" customWidth="1"/>
    <col min="14851" max="14851" width="17.140625" style="659" customWidth="1"/>
    <col min="14852" max="14852" width="2.5703125" style="659" customWidth="1"/>
    <col min="14853" max="14853" width="17.140625" style="659" customWidth="1"/>
    <col min="14854" max="14864" width="11.42578125" style="659"/>
    <col min="14865" max="14865" width="15.28515625" style="659" customWidth="1"/>
    <col min="14866" max="14866" width="20.5703125" style="659" customWidth="1"/>
    <col min="14867" max="14867" width="14.85546875" style="659" customWidth="1"/>
    <col min="14868" max="14868" width="14.140625" style="659" bestFit="1" customWidth="1"/>
    <col min="14869" max="14869" width="11.42578125" style="659"/>
    <col min="14870" max="14870" width="22.28515625" style="659" customWidth="1"/>
    <col min="14871" max="15104" width="11.42578125" style="659"/>
    <col min="15105" max="15105" width="47.7109375" style="659" customWidth="1"/>
    <col min="15106" max="15106" width="8.7109375" style="659" customWidth="1"/>
    <col min="15107" max="15107" width="17.140625" style="659" customWidth="1"/>
    <col min="15108" max="15108" width="2.5703125" style="659" customWidth="1"/>
    <col min="15109" max="15109" width="17.140625" style="659" customWidth="1"/>
    <col min="15110" max="15120" width="11.42578125" style="659"/>
    <col min="15121" max="15121" width="15.28515625" style="659" customWidth="1"/>
    <col min="15122" max="15122" width="20.5703125" style="659" customWidth="1"/>
    <col min="15123" max="15123" width="14.85546875" style="659" customWidth="1"/>
    <col min="15124" max="15124" width="14.140625" style="659" bestFit="1" customWidth="1"/>
    <col min="15125" max="15125" width="11.42578125" style="659"/>
    <col min="15126" max="15126" width="22.28515625" style="659" customWidth="1"/>
    <col min="15127" max="15360" width="11.42578125" style="659"/>
    <col min="15361" max="15361" width="47.7109375" style="659" customWidth="1"/>
    <col min="15362" max="15362" width="8.7109375" style="659" customWidth="1"/>
    <col min="15363" max="15363" width="17.140625" style="659" customWidth="1"/>
    <col min="15364" max="15364" width="2.5703125" style="659" customWidth="1"/>
    <col min="15365" max="15365" width="17.140625" style="659" customWidth="1"/>
    <col min="15366" max="15376" width="11.42578125" style="659"/>
    <col min="15377" max="15377" width="15.28515625" style="659" customWidth="1"/>
    <col min="15378" max="15378" width="20.5703125" style="659" customWidth="1"/>
    <col min="15379" max="15379" width="14.85546875" style="659" customWidth="1"/>
    <col min="15380" max="15380" width="14.140625" style="659" bestFit="1" customWidth="1"/>
    <col min="15381" max="15381" width="11.42578125" style="659"/>
    <col min="15382" max="15382" width="22.28515625" style="659" customWidth="1"/>
    <col min="15383" max="15616" width="11.42578125" style="659"/>
    <col min="15617" max="15617" width="47.7109375" style="659" customWidth="1"/>
    <col min="15618" max="15618" width="8.7109375" style="659" customWidth="1"/>
    <col min="15619" max="15619" width="17.140625" style="659" customWidth="1"/>
    <col min="15620" max="15620" width="2.5703125" style="659" customWidth="1"/>
    <col min="15621" max="15621" width="17.140625" style="659" customWidth="1"/>
    <col min="15622" max="15632" width="11.42578125" style="659"/>
    <col min="15633" max="15633" width="15.28515625" style="659" customWidth="1"/>
    <col min="15634" max="15634" width="20.5703125" style="659" customWidth="1"/>
    <col min="15635" max="15635" width="14.85546875" style="659" customWidth="1"/>
    <col min="15636" max="15636" width="14.140625" style="659" bestFit="1" customWidth="1"/>
    <col min="15637" max="15637" width="11.42578125" style="659"/>
    <col min="15638" max="15638" width="22.28515625" style="659" customWidth="1"/>
    <col min="15639" max="15872" width="11.42578125" style="659"/>
    <col min="15873" max="15873" width="47.7109375" style="659" customWidth="1"/>
    <col min="15874" max="15874" width="8.7109375" style="659" customWidth="1"/>
    <col min="15875" max="15875" width="17.140625" style="659" customWidth="1"/>
    <col min="15876" max="15876" width="2.5703125" style="659" customWidth="1"/>
    <col min="15877" max="15877" width="17.140625" style="659" customWidth="1"/>
    <col min="15878" max="15888" width="11.42578125" style="659"/>
    <col min="15889" max="15889" width="15.28515625" style="659" customWidth="1"/>
    <col min="15890" max="15890" width="20.5703125" style="659" customWidth="1"/>
    <col min="15891" max="15891" width="14.85546875" style="659" customWidth="1"/>
    <col min="15892" max="15892" width="14.140625" style="659" bestFit="1" customWidth="1"/>
    <col min="15893" max="15893" width="11.42578125" style="659"/>
    <col min="15894" max="15894" width="22.28515625" style="659" customWidth="1"/>
    <col min="15895" max="16128" width="11.42578125" style="659"/>
    <col min="16129" max="16129" width="47.7109375" style="659" customWidth="1"/>
    <col min="16130" max="16130" width="8.7109375" style="659" customWidth="1"/>
    <col min="16131" max="16131" width="17.140625" style="659" customWidth="1"/>
    <col min="16132" max="16132" width="2.5703125" style="659" customWidth="1"/>
    <col min="16133" max="16133" width="17.140625" style="659" customWidth="1"/>
    <col min="16134" max="16144" width="11.42578125" style="659"/>
    <col min="16145" max="16145" width="15.28515625" style="659" customWidth="1"/>
    <col min="16146" max="16146" width="20.5703125" style="659" customWidth="1"/>
    <col min="16147" max="16147" width="14.85546875" style="659" customWidth="1"/>
    <col min="16148" max="16148" width="14.140625" style="659" bestFit="1" customWidth="1"/>
    <col min="16149" max="16149" width="11.42578125" style="659"/>
    <col min="16150" max="16150" width="22.28515625" style="659" customWidth="1"/>
    <col min="16151" max="16384" width="11.42578125" style="659"/>
  </cols>
  <sheetData>
    <row r="1" spans="1:25" ht="15.75">
      <c r="A1" s="658"/>
    </row>
    <row r="2" spans="1:25" ht="11.25" customHeight="1">
      <c r="I2" s="660"/>
      <c r="J2" s="661"/>
      <c r="K2"/>
    </row>
    <row r="3" spans="1:25" ht="11.25" customHeight="1">
      <c r="A3" s="662"/>
      <c r="I3" s="660"/>
      <c r="J3" s="661"/>
      <c r="K3"/>
      <c r="L3" s="660" t="s">
        <v>682</v>
      </c>
      <c r="M3" s="661" t="s">
        <v>683</v>
      </c>
      <c r="N3"/>
      <c r="O3"/>
      <c r="P3"/>
      <c r="Q3"/>
      <c r="R3"/>
      <c r="S3"/>
      <c r="T3"/>
      <c r="U3"/>
      <c r="V3"/>
      <c r="W3"/>
      <c r="X3"/>
      <c r="Y3"/>
    </row>
    <row r="4" spans="1:25" ht="11.25" customHeight="1">
      <c r="C4" s="663"/>
      <c r="D4" s="663"/>
      <c r="E4" s="663"/>
      <c r="I4" s="660"/>
      <c r="J4" s="661"/>
      <c r="K4"/>
      <c r="L4" s="660" t="s">
        <v>684</v>
      </c>
      <c r="M4" s="661" t="s">
        <v>685</v>
      </c>
      <c r="N4"/>
      <c r="O4"/>
      <c r="P4"/>
      <c r="Q4"/>
      <c r="R4"/>
      <c r="S4"/>
      <c r="T4"/>
      <c r="U4"/>
      <c r="V4"/>
      <c r="W4"/>
      <c r="X4"/>
      <c r="Y4"/>
    </row>
    <row r="5" spans="1:25" ht="11.25" customHeight="1">
      <c r="C5" s="663"/>
      <c r="D5" s="663"/>
      <c r="E5" s="663"/>
      <c r="I5" s="660"/>
      <c r="J5" s="661"/>
      <c r="K5" s="660"/>
      <c r="L5" s="660" t="s">
        <v>686</v>
      </c>
      <c r="M5" s="661" t="s">
        <v>687</v>
      </c>
      <c r="N5"/>
      <c r="O5"/>
      <c r="P5"/>
      <c r="Q5"/>
      <c r="R5"/>
      <c r="S5"/>
      <c r="T5"/>
      <c r="U5"/>
      <c r="V5"/>
      <c r="W5"/>
      <c r="X5"/>
      <c r="Y5"/>
    </row>
    <row r="6" spans="1:25" ht="11.25" customHeight="1">
      <c r="C6" s="663"/>
      <c r="D6" s="663"/>
      <c r="E6" s="663"/>
      <c r="I6"/>
      <c r="J6"/>
      <c r="K6"/>
      <c r="L6" s="660" t="s">
        <v>688</v>
      </c>
      <c r="M6" s="661" t="s">
        <v>689</v>
      </c>
      <c r="N6" s="660" t="s">
        <v>690</v>
      </c>
      <c r="O6" s="661" t="s">
        <v>691</v>
      </c>
      <c r="P6"/>
      <c r="Q6"/>
      <c r="R6"/>
      <c r="S6"/>
      <c r="T6"/>
      <c r="U6"/>
      <c r="V6"/>
      <c r="W6"/>
      <c r="X6"/>
      <c r="Y6"/>
    </row>
    <row r="7" spans="1:25" ht="11.25" customHeight="1">
      <c r="C7" s="664"/>
      <c r="D7" s="664"/>
      <c r="E7" s="664"/>
      <c r="I7" s="665"/>
      <c r="J7" s="665"/>
      <c r="K7" s="665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1.25" customHeight="1">
      <c r="A8" s="667"/>
      <c r="B8" s="667"/>
      <c r="C8" s="668"/>
      <c r="D8" s="669"/>
      <c r="E8" s="670"/>
      <c r="I8" s="671"/>
      <c r="J8" s="672"/>
      <c r="K8" s="672"/>
      <c r="L8" s="665" t="s">
        <v>692</v>
      </c>
      <c r="M8" s="665" t="s">
        <v>693</v>
      </c>
      <c r="N8" s="665" t="s">
        <v>694</v>
      </c>
      <c r="O8" s="665" t="s">
        <v>695</v>
      </c>
      <c r="P8" s="665" t="s">
        <v>696</v>
      </c>
      <c r="Q8" s="665" t="s">
        <v>697</v>
      </c>
      <c r="R8" s="665" t="s">
        <v>698</v>
      </c>
      <c r="S8" s="665" t="s">
        <v>699</v>
      </c>
      <c r="T8" s="665" t="s">
        <v>700</v>
      </c>
      <c r="U8" s="665" t="s">
        <v>701</v>
      </c>
      <c r="V8" s="666" t="s">
        <v>702</v>
      </c>
      <c r="W8" s="665" t="s">
        <v>703</v>
      </c>
      <c r="X8" s="665" t="s">
        <v>704</v>
      </c>
      <c r="Y8" s="665" t="s">
        <v>705</v>
      </c>
    </row>
    <row r="9" spans="1:25" ht="11.25" customHeight="1">
      <c r="A9" s="667"/>
      <c r="B9" s="667"/>
      <c r="C9" s="668"/>
      <c r="D9" s="678"/>
      <c r="E9" s="670"/>
      <c r="I9" s="679"/>
      <c r="J9" s="680"/>
      <c r="K9" s="680"/>
      <c r="L9" s="671">
        <v>43186</v>
      </c>
      <c r="M9" s="672" t="s">
        <v>846</v>
      </c>
      <c r="N9" s="672" t="s">
        <v>847</v>
      </c>
      <c r="O9" s="673">
        <v>99.825000000000003</v>
      </c>
      <c r="P9" s="672" t="s">
        <v>1242</v>
      </c>
      <c r="Q9" s="672" t="s">
        <v>1243</v>
      </c>
      <c r="R9" s="672" t="s">
        <v>708</v>
      </c>
      <c r="S9" s="672" t="s">
        <v>709</v>
      </c>
      <c r="T9" s="674">
        <v>499125</v>
      </c>
      <c r="U9" s="675">
        <v>-570.65</v>
      </c>
      <c r="V9" s="674">
        <v>499695.65</v>
      </c>
      <c r="W9" s="671">
        <v>43187</v>
      </c>
      <c r="X9" s="672" t="s">
        <v>1244</v>
      </c>
      <c r="Y9" s="676">
        <v>-500000</v>
      </c>
    </row>
    <row r="10" spans="1:25" ht="15">
      <c r="A10" s="667"/>
      <c r="B10" s="667"/>
      <c r="C10" s="668"/>
      <c r="D10" s="678"/>
      <c r="E10" s="670"/>
      <c r="I10" s="671"/>
      <c r="J10" s="672"/>
      <c r="K10" s="685"/>
      <c r="L10" s="679">
        <v>43182</v>
      </c>
      <c r="M10" s="680" t="s">
        <v>1245</v>
      </c>
      <c r="N10" s="680" t="s">
        <v>1246</v>
      </c>
      <c r="O10" s="681">
        <v>105.8</v>
      </c>
      <c r="P10" s="680" t="s">
        <v>1247</v>
      </c>
      <c r="Q10" s="680" t="s">
        <v>1248</v>
      </c>
      <c r="R10" s="680" t="s">
        <v>708</v>
      </c>
      <c r="S10" s="680" t="s">
        <v>711</v>
      </c>
      <c r="T10" s="682">
        <v>-529000</v>
      </c>
      <c r="U10" s="683">
        <v>6777.78</v>
      </c>
      <c r="V10" s="682">
        <v>-535777.78</v>
      </c>
      <c r="W10" s="679">
        <v>43186</v>
      </c>
      <c r="X10" s="680" t="s">
        <v>1249</v>
      </c>
      <c r="Y10" s="684">
        <v>500000</v>
      </c>
    </row>
    <row r="11" spans="1:25" ht="15.75" thickBot="1">
      <c r="A11" s="686"/>
      <c r="B11" s="667"/>
      <c r="C11" s="668"/>
      <c r="D11" s="678"/>
      <c r="E11" s="670"/>
      <c r="I11" s="679"/>
      <c r="J11" s="680"/>
      <c r="K11" s="680"/>
      <c r="L11" s="671">
        <v>43185</v>
      </c>
      <c r="M11" s="672" t="s">
        <v>1250</v>
      </c>
      <c r="N11" s="685" t="s">
        <v>1251</v>
      </c>
      <c r="O11" s="673">
        <v>0</v>
      </c>
      <c r="P11" s="672" t="s">
        <v>840</v>
      </c>
      <c r="Q11" s="672" t="s">
        <v>1252</v>
      </c>
      <c r="R11" s="672" t="s">
        <v>708</v>
      </c>
      <c r="S11" s="672" t="s">
        <v>800</v>
      </c>
      <c r="T11" s="674">
        <v>0</v>
      </c>
      <c r="U11" s="675">
        <v>0</v>
      </c>
      <c r="V11" s="674">
        <v>13537.5</v>
      </c>
      <c r="W11" s="671">
        <v>43185</v>
      </c>
      <c r="X11" s="672" t="s">
        <v>1253</v>
      </c>
      <c r="Y11" s="676">
        <v>0</v>
      </c>
    </row>
    <row r="12" spans="1:25" ht="15.75" thickBot="1">
      <c r="A12" s="686"/>
      <c r="B12" s="667"/>
      <c r="C12" s="688"/>
      <c r="D12" s="678"/>
      <c r="E12" s="689"/>
      <c r="I12" s="671"/>
      <c r="J12" s="672"/>
      <c r="K12" s="685"/>
      <c r="L12" s="679">
        <v>43182</v>
      </c>
      <c r="M12" s="680" t="s">
        <v>706</v>
      </c>
      <c r="N12" s="680" t="s">
        <v>707</v>
      </c>
      <c r="O12" s="681">
        <v>102.6</v>
      </c>
      <c r="P12" s="680" t="s">
        <v>1254</v>
      </c>
      <c r="Q12" s="680" t="s">
        <v>1255</v>
      </c>
      <c r="R12" s="680" t="s">
        <v>708</v>
      </c>
      <c r="S12" s="680" t="s">
        <v>711</v>
      </c>
      <c r="T12" s="687">
        <v>-205200</v>
      </c>
      <c r="U12" s="683">
        <v>3675</v>
      </c>
      <c r="V12" s="687">
        <v>-208875</v>
      </c>
      <c r="W12" s="679">
        <v>43185</v>
      </c>
      <c r="X12" s="680" t="s">
        <v>1256</v>
      </c>
      <c r="Y12" s="684">
        <v>200000</v>
      </c>
    </row>
    <row r="13" spans="1:25" ht="11.25" customHeight="1" thickTop="1">
      <c r="A13" s="667"/>
      <c r="B13" s="667"/>
      <c r="C13" s="690"/>
      <c r="D13" s="691"/>
      <c r="E13" s="692"/>
      <c r="I13" s="679"/>
      <c r="J13" s="680"/>
      <c r="K13" s="680"/>
      <c r="L13" s="671">
        <v>43175</v>
      </c>
      <c r="M13" s="672" t="s">
        <v>846</v>
      </c>
      <c r="N13" s="685" t="s">
        <v>847</v>
      </c>
      <c r="O13" s="673">
        <v>99.793000000000006</v>
      </c>
      <c r="P13" s="672" t="s">
        <v>1257</v>
      </c>
      <c r="Q13" s="672" t="s">
        <v>1258</v>
      </c>
      <c r="R13" s="672" t="s">
        <v>708</v>
      </c>
      <c r="S13" s="672" t="s">
        <v>709</v>
      </c>
      <c r="T13" s="674">
        <v>498965</v>
      </c>
      <c r="U13" s="675">
        <v>-387.23</v>
      </c>
      <c r="V13" s="674">
        <v>499352.23</v>
      </c>
      <c r="W13" s="671">
        <v>43178</v>
      </c>
      <c r="X13" s="672" t="s">
        <v>1259</v>
      </c>
      <c r="Y13" s="676">
        <v>-500000</v>
      </c>
    </row>
    <row r="14" spans="1:25" ht="11.25" customHeight="1">
      <c r="A14" s="667"/>
      <c r="B14" s="667"/>
      <c r="C14" s="690"/>
      <c r="D14" s="691"/>
      <c r="E14" s="693"/>
      <c r="I14" s="671"/>
      <c r="J14" s="672"/>
      <c r="K14" s="672"/>
      <c r="L14" s="679">
        <v>43175</v>
      </c>
      <c r="M14" s="680" t="s">
        <v>718</v>
      </c>
      <c r="N14" s="680" t="s">
        <v>719</v>
      </c>
      <c r="O14" s="681">
        <v>107.4</v>
      </c>
      <c r="P14" s="680" t="s">
        <v>1260</v>
      </c>
      <c r="Q14" s="680" t="s">
        <v>1261</v>
      </c>
      <c r="R14" s="680" t="s">
        <v>708</v>
      </c>
      <c r="S14" s="680" t="s">
        <v>711</v>
      </c>
      <c r="T14" s="687">
        <v>-268500</v>
      </c>
      <c r="U14" s="683">
        <v>6167.53</v>
      </c>
      <c r="V14" s="687">
        <v>-274667.53000000003</v>
      </c>
      <c r="W14" s="679">
        <v>43178</v>
      </c>
      <c r="X14" s="680" t="s">
        <v>1262</v>
      </c>
      <c r="Y14" s="684">
        <v>250000</v>
      </c>
    </row>
    <row r="15" spans="1:25" ht="11.25" customHeight="1">
      <c r="I15" s="679"/>
      <c r="J15" s="680"/>
      <c r="K15" s="680"/>
      <c r="L15" s="671">
        <v>43175</v>
      </c>
      <c r="M15" s="672" t="s">
        <v>1250</v>
      </c>
      <c r="N15" s="672" t="s">
        <v>1251</v>
      </c>
      <c r="O15" s="673">
        <v>101.08</v>
      </c>
      <c r="P15" s="672" t="s">
        <v>1263</v>
      </c>
      <c r="Q15" s="672" t="s">
        <v>1264</v>
      </c>
      <c r="R15" s="672" t="s">
        <v>708</v>
      </c>
      <c r="S15" s="672" t="s">
        <v>711</v>
      </c>
      <c r="T15" s="674">
        <v>-505400</v>
      </c>
      <c r="U15" s="675">
        <v>11413.19</v>
      </c>
      <c r="V15" s="674">
        <v>-516813.19</v>
      </c>
      <c r="W15" s="671">
        <v>43178</v>
      </c>
      <c r="X15" s="672" t="s">
        <v>1265</v>
      </c>
      <c r="Y15" s="676">
        <v>500000</v>
      </c>
    </row>
    <row r="16" spans="1:25" ht="11.25" customHeight="1">
      <c r="I16" s="671"/>
      <c r="J16" s="672"/>
      <c r="K16" s="672"/>
      <c r="L16" s="679">
        <v>43175</v>
      </c>
      <c r="M16" s="680" t="s">
        <v>842</v>
      </c>
      <c r="N16" s="680" t="s">
        <v>843</v>
      </c>
      <c r="O16" s="681">
        <v>0</v>
      </c>
      <c r="P16" s="680" t="s">
        <v>840</v>
      </c>
      <c r="Q16" s="680" t="s">
        <v>1266</v>
      </c>
      <c r="R16" s="680" t="s">
        <v>708</v>
      </c>
      <c r="S16" s="680" t="s">
        <v>800</v>
      </c>
      <c r="T16" s="687">
        <v>0</v>
      </c>
      <c r="U16" s="683">
        <v>0</v>
      </c>
      <c r="V16" s="687">
        <v>34375</v>
      </c>
      <c r="W16" s="679">
        <v>43175</v>
      </c>
      <c r="X16" s="680" t="s">
        <v>1267</v>
      </c>
      <c r="Y16" s="684">
        <v>0</v>
      </c>
    </row>
    <row r="17" spans="9:25" ht="11.25" customHeight="1">
      <c r="I17" s="679"/>
      <c r="J17" s="680"/>
      <c r="K17" s="680"/>
      <c r="L17" s="671">
        <v>43173</v>
      </c>
      <c r="M17" s="672" t="s">
        <v>1250</v>
      </c>
      <c r="N17" s="672" t="s">
        <v>1251</v>
      </c>
      <c r="O17" s="673">
        <v>101.4</v>
      </c>
      <c r="P17" s="672" t="s">
        <v>1268</v>
      </c>
      <c r="Q17" s="672" t="s">
        <v>1269</v>
      </c>
      <c r="R17" s="672" t="s">
        <v>708</v>
      </c>
      <c r="S17" s="672" t="s">
        <v>709</v>
      </c>
      <c r="T17" s="694">
        <v>202800</v>
      </c>
      <c r="U17" s="675">
        <v>-4486.1099999999997</v>
      </c>
      <c r="V17" s="694">
        <v>207286.11</v>
      </c>
      <c r="W17" s="671">
        <v>43175</v>
      </c>
      <c r="X17" s="672" t="s">
        <v>1270</v>
      </c>
      <c r="Y17" s="676">
        <v>-200000</v>
      </c>
    </row>
    <row r="18" spans="9:25" ht="11.25" customHeight="1">
      <c r="I18" s="671"/>
      <c r="J18" s="672"/>
      <c r="K18" s="672"/>
      <c r="L18" s="679">
        <v>43168</v>
      </c>
      <c r="M18" s="680" t="s">
        <v>844</v>
      </c>
      <c r="N18" s="680" t="s">
        <v>845</v>
      </c>
      <c r="O18" s="681">
        <v>97.95</v>
      </c>
      <c r="P18" s="680" t="s">
        <v>1271</v>
      </c>
      <c r="Q18" s="680" t="s">
        <v>1272</v>
      </c>
      <c r="R18" s="680" t="s">
        <v>708</v>
      </c>
      <c r="S18" s="680" t="s">
        <v>709</v>
      </c>
      <c r="T18" s="687">
        <v>489750</v>
      </c>
      <c r="U18" s="683">
        <v>-8820.83</v>
      </c>
      <c r="V18" s="687">
        <v>498570.83</v>
      </c>
      <c r="W18" s="679">
        <v>43172</v>
      </c>
      <c r="X18" s="680" t="s">
        <v>1273</v>
      </c>
      <c r="Y18" s="684">
        <v>-500000</v>
      </c>
    </row>
    <row r="19" spans="9:25" ht="11.25" customHeight="1">
      <c r="I19" s="679"/>
      <c r="J19" s="680"/>
      <c r="K19" s="680"/>
      <c r="L19" s="671">
        <v>43168</v>
      </c>
      <c r="M19" s="672" t="s">
        <v>718</v>
      </c>
      <c r="N19" s="672" t="s">
        <v>719</v>
      </c>
      <c r="O19" s="673">
        <v>107.3</v>
      </c>
      <c r="P19" s="672" t="s">
        <v>1274</v>
      </c>
      <c r="Q19" s="672" t="s">
        <v>1275</v>
      </c>
      <c r="R19" s="672" t="s">
        <v>708</v>
      </c>
      <c r="S19" s="672" t="s">
        <v>711</v>
      </c>
      <c r="T19" s="694">
        <v>-268250</v>
      </c>
      <c r="U19" s="675">
        <v>5912.33</v>
      </c>
      <c r="V19" s="694">
        <v>-274162.33</v>
      </c>
      <c r="W19" s="671">
        <v>43172</v>
      </c>
      <c r="X19" s="672" t="s">
        <v>1276</v>
      </c>
      <c r="Y19" s="676">
        <v>250000</v>
      </c>
    </row>
    <row r="20" spans="9:25" ht="11.25" customHeight="1">
      <c r="I20" s="671"/>
      <c r="J20" s="672"/>
      <c r="K20" s="672"/>
      <c r="L20" s="679">
        <v>43166</v>
      </c>
      <c r="M20" s="680" t="s">
        <v>706</v>
      </c>
      <c r="N20" s="680" t="s">
        <v>707</v>
      </c>
      <c r="O20" s="681">
        <v>102.75</v>
      </c>
      <c r="P20" s="680" t="s">
        <v>1277</v>
      </c>
      <c r="Q20" s="680" t="s">
        <v>1278</v>
      </c>
      <c r="R20" s="680" t="s">
        <v>708</v>
      </c>
      <c r="S20" s="680" t="s">
        <v>711</v>
      </c>
      <c r="T20" s="687">
        <v>-653490</v>
      </c>
      <c r="U20" s="683">
        <v>9659.25</v>
      </c>
      <c r="V20" s="687">
        <v>-663149.25</v>
      </c>
      <c r="W20" s="679">
        <v>43168</v>
      </c>
      <c r="X20" s="680" t="s">
        <v>1279</v>
      </c>
      <c r="Y20" s="684">
        <v>636000</v>
      </c>
    </row>
    <row r="21" spans="9:25" ht="11.25" customHeight="1">
      <c r="I21" s="679"/>
      <c r="J21" s="680"/>
      <c r="K21" s="680"/>
      <c r="L21" s="671">
        <v>43159</v>
      </c>
      <c r="M21" s="672" t="s">
        <v>706</v>
      </c>
      <c r="N21" s="672" t="s">
        <v>707</v>
      </c>
      <c r="O21" s="673">
        <v>102.8</v>
      </c>
      <c r="P21" s="672" t="s">
        <v>1280</v>
      </c>
      <c r="Q21" s="672" t="s">
        <v>796</v>
      </c>
      <c r="R21" s="672" t="s">
        <v>708</v>
      </c>
      <c r="S21" s="672" t="s">
        <v>709</v>
      </c>
      <c r="T21" s="694">
        <v>154200</v>
      </c>
      <c r="U21" s="675">
        <v>-2081.25</v>
      </c>
      <c r="V21" s="694">
        <v>156281.25</v>
      </c>
      <c r="W21" s="671">
        <v>43161</v>
      </c>
      <c r="X21" s="672" t="s">
        <v>1281</v>
      </c>
      <c r="Y21" s="676">
        <v>-150000</v>
      </c>
    </row>
    <row r="22" spans="9:25" ht="11.25" customHeight="1">
      <c r="I22" s="671"/>
      <c r="J22" s="672"/>
      <c r="K22" s="672"/>
      <c r="L22" s="679">
        <v>43159</v>
      </c>
      <c r="M22" s="680" t="s">
        <v>706</v>
      </c>
      <c r="N22" s="680" t="s">
        <v>707</v>
      </c>
      <c r="O22" s="681">
        <v>102.7</v>
      </c>
      <c r="P22" s="680" t="s">
        <v>1282</v>
      </c>
      <c r="Q22" s="680" t="s">
        <v>1283</v>
      </c>
      <c r="R22" s="680" t="s">
        <v>708</v>
      </c>
      <c r="S22" s="680" t="s">
        <v>711</v>
      </c>
      <c r="T22" s="687">
        <v>-205400</v>
      </c>
      <c r="U22" s="683">
        <v>2775</v>
      </c>
      <c r="V22" s="687">
        <v>-208175</v>
      </c>
      <c r="W22" s="679">
        <v>43161</v>
      </c>
      <c r="X22" s="680" t="s">
        <v>1284</v>
      </c>
      <c r="Y22" s="684">
        <v>200000</v>
      </c>
    </row>
    <row r="23" spans="9:25" ht="11.25" customHeight="1">
      <c r="I23" s="679"/>
      <c r="J23" s="680"/>
      <c r="K23" s="680"/>
      <c r="L23" s="671">
        <v>43159</v>
      </c>
      <c r="M23" s="672" t="s">
        <v>706</v>
      </c>
      <c r="N23" s="672" t="s">
        <v>707</v>
      </c>
      <c r="O23" s="673">
        <v>102.74</v>
      </c>
      <c r="P23" s="672" t="s">
        <v>1285</v>
      </c>
      <c r="Q23" s="672" t="s">
        <v>1286</v>
      </c>
      <c r="R23" s="672" t="s">
        <v>708</v>
      </c>
      <c r="S23" s="672" t="s">
        <v>711</v>
      </c>
      <c r="T23" s="694">
        <v>-205480</v>
      </c>
      <c r="U23" s="675">
        <v>2775</v>
      </c>
      <c r="V23" s="694">
        <v>-208255</v>
      </c>
      <c r="W23" s="671">
        <v>43161</v>
      </c>
      <c r="X23" s="672" t="s">
        <v>1287</v>
      </c>
      <c r="Y23" s="676">
        <v>200000</v>
      </c>
    </row>
    <row r="24" spans="9:25" ht="11.25" customHeight="1">
      <c r="I24" s="679"/>
      <c r="J24" s="680"/>
      <c r="K24" s="680"/>
      <c r="L24" s="679">
        <v>43159</v>
      </c>
      <c r="M24" s="680" t="s">
        <v>846</v>
      </c>
      <c r="N24" s="680" t="s">
        <v>847</v>
      </c>
      <c r="O24" s="681">
        <v>0</v>
      </c>
      <c r="P24" s="680" t="s">
        <v>799</v>
      </c>
      <c r="Q24" s="680" t="s">
        <v>1288</v>
      </c>
      <c r="R24" s="680" t="s">
        <v>708</v>
      </c>
      <c r="S24" s="680" t="s">
        <v>800</v>
      </c>
      <c r="T24" s="682">
        <v>0</v>
      </c>
      <c r="U24" s="683">
        <v>0</v>
      </c>
      <c r="V24" s="682">
        <v>60000</v>
      </c>
      <c r="W24" s="679">
        <v>43159</v>
      </c>
      <c r="X24" s="680" t="s">
        <v>1289</v>
      </c>
      <c r="Y24" s="684">
        <v>0</v>
      </c>
    </row>
    <row r="25" spans="9:25" ht="11.25" customHeight="1">
      <c r="I25" s="679"/>
      <c r="J25" s="680"/>
      <c r="K25" s="680"/>
      <c r="L25" s="679">
        <v>43154</v>
      </c>
      <c r="M25" s="680" t="s">
        <v>1250</v>
      </c>
      <c r="N25" s="680" t="s">
        <v>1251</v>
      </c>
      <c r="O25" s="681">
        <v>101.4</v>
      </c>
      <c r="P25" s="680" t="s">
        <v>1290</v>
      </c>
      <c r="Q25" s="680" t="s">
        <v>1291</v>
      </c>
      <c r="R25" s="680" t="s">
        <v>708</v>
      </c>
      <c r="S25" s="680" t="s">
        <v>709</v>
      </c>
      <c r="T25" s="687">
        <v>233220</v>
      </c>
      <c r="U25" s="683">
        <v>-4582.43</v>
      </c>
      <c r="V25" s="687">
        <v>237802.43</v>
      </c>
      <c r="W25" s="679">
        <v>43158</v>
      </c>
      <c r="X25" s="680" t="s">
        <v>1292</v>
      </c>
      <c r="Y25" s="684">
        <v>-230000</v>
      </c>
    </row>
    <row r="26" spans="9:25" ht="11.25" customHeight="1">
      <c r="I26" s="671"/>
      <c r="J26" s="672"/>
      <c r="K26" s="672"/>
      <c r="L26" s="679">
        <v>43154</v>
      </c>
      <c r="M26" s="680" t="s">
        <v>706</v>
      </c>
      <c r="N26" s="680" t="s">
        <v>707</v>
      </c>
      <c r="O26" s="681">
        <v>103</v>
      </c>
      <c r="P26" s="680" t="s">
        <v>1293</v>
      </c>
      <c r="Q26" s="680" t="s">
        <v>1294</v>
      </c>
      <c r="R26" s="680" t="s">
        <v>708</v>
      </c>
      <c r="S26" s="680" t="s">
        <v>709</v>
      </c>
      <c r="T26" s="682">
        <v>236900</v>
      </c>
      <c r="U26" s="683">
        <v>-2975.63</v>
      </c>
      <c r="V26" s="682">
        <v>239875.63</v>
      </c>
      <c r="W26" s="679">
        <v>43158</v>
      </c>
      <c r="X26" s="680" t="s">
        <v>1295</v>
      </c>
      <c r="Y26" s="684">
        <v>-230000</v>
      </c>
    </row>
    <row r="27" spans="9:25" ht="11.25" customHeight="1">
      <c r="I27" s="671"/>
      <c r="J27" s="672"/>
      <c r="K27" s="672"/>
      <c r="L27" s="671">
        <v>43154</v>
      </c>
      <c r="M27" s="672" t="s">
        <v>846</v>
      </c>
      <c r="N27" s="672" t="s">
        <v>847</v>
      </c>
      <c r="O27" s="673">
        <v>99.831000000000003</v>
      </c>
      <c r="P27" s="672" t="s">
        <v>1296</v>
      </c>
      <c r="Q27" s="672" t="s">
        <v>1297</v>
      </c>
      <c r="R27" s="672" t="s">
        <v>708</v>
      </c>
      <c r="S27" s="672" t="s">
        <v>711</v>
      </c>
      <c r="T27" s="674">
        <v>-1098141</v>
      </c>
      <c r="U27" s="675">
        <v>8158.84</v>
      </c>
      <c r="V27" s="674">
        <v>-1106299.8400000001</v>
      </c>
      <c r="W27" s="671">
        <v>43157</v>
      </c>
      <c r="X27" s="672" t="s">
        <v>1298</v>
      </c>
      <c r="Y27" s="676">
        <v>1100000</v>
      </c>
    </row>
    <row r="28" spans="9:25" ht="11.25" customHeight="1">
      <c r="I28" s="679"/>
      <c r="J28" s="680"/>
      <c r="K28" s="680"/>
      <c r="L28" s="671">
        <v>43153</v>
      </c>
      <c r="M28" s="672" t="s">
        <v>706</v>
      </c>
      <c r="N28" s="672" t="s">
        <v>707</v>
      </c>
      <c r="O28" s="673">
        <v>102.06</v>
      </c>
      <c r="P28" s="672" t="s">
        <v>1299</v>
      </c>
      <c r="Q28" s="672" t="s">
        <v>1300</v>
      </c>
      <c r="R28" s="672" t="s">
        <v>708</v>
      </c>
      <c r="S28" s="672" t="s">
        <v>711</v>
      </c>
      <c r="T28" s="674">
        <v>-173502</v>
      </c>
      <c r="U28" s="675">
        <v>2071.88</v>
      </c>
      <c r="V28" s="674">
        <v>-175573.88</v>
      </c>
      <c r="W28" s="671">
        <v>43154</v>
      </c>
      <c r="X28" s="672" t="s">
        <v>1301</v>
      </c>
      <c r="Y28" s="676">
        <v>170000</v>
      </c>
    </row>
    <row r="29" spans="9:25" ht="11.25" customHeight="1">
      <c r="I29" s="671"/>
      <c r="J29" s="672"/>
      <c r="K29" s="672"/>
      <c r="L29" s="679">
        <v>43152</v>
      </c>
      <c r="M29" s="680" t="s">
        <v>1302</v>
      </c>
      <c r="N29" s="680" t="s">
        <v>1303</v>
      </c>
      <c r="O29" s="681">
        <v>107.85</v>
      </c>
      <c r="P29" s="680" t="s">
        <v>1304</v>
      </c>
      <c r="Q29" s="680" t="s">
        <v>1305</v>
      </c>
      <c r="R29" s="680" t="s">
        <v>708</v>
      </c>
      <c r="S29" s="680" t="s">
        <v>711</v>
      </c>
      <c r="T29" s="687">
        <v>-107850</v>
      </c>
      <c r="U29" s="683">
        <v>479.17</v>
      </c>
      <c r="V29" s="687">
        <v>-108329.17</v>
      </c>
      <c r="W29" s="679">
        <v>43154</v>
      </c>
      <c r="X29" s="680" t="s">
        <v>1306</v>
      </c>
      <c r="Y29" s="684">
        <v>100000</v>
      </c>
    </row>
    <row r="30" spans="9:25" ht="11.25" customHeight="1">
      <c r="I30" s="679"/>
      <c r="J30" s="680"/>
      <c r="K30" s="680"/>
      <c r="L30" s="671">
        <v>43152</v>
      </c>
      <c r="M30" s="672" t="s">
        <v>1302</v>
      </c>
      <c r="N30" s="672" t="s">
        <v>1303</v>
      </c>
      <c r="O30" s="673">
        <v>107.95</v>
      </c>
      <c r="P30" s="672" t="s">
        <v>1307</v>
      </c>
      <c r="Q30" s="672" t="s">
        <v>1308</v>
      </c>
      <c r="R30" s="672" t="s">
        <v>708</v>
      </c>
      <c r="S30" s="672" t="s">
        <v>711</v>
      </c>
      <c r="T30" s="694">
        <v>-478218.5</v>
      </c>
      <c r="U30" s="675">
        <v>2122.71</v>
      </c>
      <c r="V30" s="694">
        <v>-480341.21</v>
      </c>
      <c r="W30" s="671">
        <v>43154</v>
      </c>
      <c r="X30" s="672" t="s">
        <v>1309</v>
      </c>
      <c r="Y30" s="676">
        <v>443000</v>
      </c>
    </row>
    <row r="31" spans="9:25" ht="11.25" customHeight="1">
      <c r="I31" s="671"/>
      <c r="J31" s="672"/>
      <c r="K31" s="672"/>
      <c r="L31" s="679">
        <v>43152</v>
      </c>
      <c r="M31" s="680" t="s">
        <v>706</v>
      </c>
      <c r="N31" s="680" t="s">
        <v>707</v>
      </c>
      <c r="O31" s="681">
        <v>103</v>
      </c>
      <c r="P31" s="680" t="s">
        <v>1310</v>
      </c>
      <c r="Q31" s="680" t="s">
        <v>1311</v>
      </c>
      <c r="R31" s="680" t="s">
        <v>708</v>
      </c>
      <c r="S31" s="680" t="s">
        <v>709</v>
      </c>
      <c r="T31" s="687">
        <v>154500</v>
      </c>
      <c r="U31" s="683">
        <v>-1828.13</v>
      </c>
      <c r="V31" s="687">
        <v>156328.13</v>
      </c>
      <c r="W31" s="679">
        <v>43154</v>
      </c>
      <c r="X31" s="680" t="s">
        <v>1312</v>
      </c>
      <c r="Y31" s="684">
        <v>-150000</v>
      </c>
    </row>
    <row r="32" spans="9:25" ht="11.25" customHeight="1">
      <c r="I32" s="679"/>
      <c r="J32" s="680"/>
      <c r="K32" s="680"/>
      <c r="L32" s="671">
        <v>43152</v>
      </c>
      <c r="M32" s="672" t="s">
        <v>706</v>
      </c>
      <c r="N32" s="672" t="s">
        <v>707</v>
      </c>
      <c r="O32" s="673">
        <v>102.95</v>
      </c>
      <c r="P32" s="672" t="s">
        <v>1313</v>
      </c>
      <c r="Q32" s="672" t="s">
        <v>1314</v>
      </c>
      <c r="R32" s="672" t="s">
        <v>708</v>
      </c>
      <c r="S32" s="672" t="s">
        <v>709</v>
      </c>
      <c r="T32" s="674">
        <v>154425</v>
      </c>
      <c r="U32" s="675">
        <v>-1828.13</v>
      </c>
      <c r="V32" s="674">
        <v>156253.13</v>
      </c>
      <c r="W32" s="671">
        <v>43154</v>
      </c>
      <c r="X32" s="672" t="s">
        <v>1315</v>
      </c>
      <c r="Y32" s="676">
        <v>-150000</v>
      </c>
    </row>
    <row r="33" spans="9:25" ht="11.25" customHeight="1">
      <c r="I33" s="671"/>
      <c r="J33" s="672"/>
      <c r="K33" s="672"/>
      <c r="L33" s="679">
        <v>43139</v>
      </c>
      <c r="M33" s="680" t="s">
        <v>706</v>
      </c>
      <c r="N33" s="680" t="s">
        <v>707</v>
      </c>
      <c r="O33" s="681">
        <v>103.25</v>
      </c>
      <c r="P33" s="680" t="s">
        <v>1316</v>
      </c>
      <c r="Q33" s="680" t="s">
        <v>1317</v>
      </c>
      <c r="R33" s="680" t="s">
        <v>708</v>
      </c>
      <c r="S33" s="680" t="s">
        <v>709</v>
      </c>
      <c r="T33" s="687">
        <v>464625</v>
      </c>
      <c r="U33" s="683">
        <v>-4556.25</v>
      </c>
      <c r="V33" s="687">
        <v>469181.25</v>
      </c>
      <c r="W33" s="679">
        <v>43143</v>
      </c>
      <c r="X33" s="680" t="s">
        <v>1318</v>
      </c>
      <c r="Y33" s="684">
        <v>-450000</v>
      </c>
    </row>
    <row r="34" spans="9:25" ht="11.25" customHeight="1">
      <c r="I34" s="679"/>
      <c r="J34" s="680"/>
      <c r="K34" s="680"/>
      <c r="L34" s="671">
        <v>43138</v>
      </c>
      <c r="M34" s="672" t="s">
        <v>1319</v>
      </c>
      <c r="N34" s="672" t="s">
        <v>1320</v>
      </c>
      <c r="O34" s="673">
        <v>106.25</v>
      </c>
      <c r="P34" s="672" t="s">
        <v>1321</v>
      </c>
      <c r="Q34" s="672" t="s">
        <v>1322</v>
      </c>
      <c r="R34" s="672" t="s">
        <v>708</v>
      </c>
      <c r="S34" s="672" t="s">
        <v>711</v>
      </c>
      <c r="T34" s="674">
        <v>-318750</v>
      </c>
      <c r="U34" s="675">
        <v>1468.75</v>
      </c>
      <c r="V34" s="674">
        <v>-320218.75</v>
      </c>
      <c r="W34" s="671">
        <v>43140</v>
      </c>
      <c r="X34" s="672" t="s">
        <v>1323</v>
      </c>
      <c r="Y34" s="676">
        <v>300000</v>
      </c>
    </row>
    <row r="35" spans="9:25" ht="11.25" customHeight="1">
      <c r="I35" s="671"/>
      <c r="J35" s="672"/>
      <c r="K35" s="672"/>
      <c r="L35" s="679">
        <v>43136</v>
      </c>
      <c r="M35" s="680" t="s">
        <v>713</v>
      </c>
      <c r="N35" s="680" t="s">
        <v>714</v>
      </c>
      <c r="O35" s="681">
        <v>102.43</v>
      </c>
      <c r="P35" s="680" t="s">
        <v>1324</v>
      </c>
      <c r="Q35" s="680" t="s">
        <v>1325</v>
      </c>
      <c r="R35" s="680" t="s">
        <v>708</v>
      </c>
      <c r="S35" s="680" t="s">
        <v>711</v>
      </c>
      <c r="T35" s="687">
        <v>-102430</v>
      </c>
      <c r="U35" s="683">
        <v>2013.89</v>
      </c>
      <c r="V35" s="687">
        <v>-104443.89</v>
      </c>
      <c r="W35" s="679">
        <v>43137</v>
      </c>
      <c r="X35" s="680" t="s">
        <v>1326</v>
      </c>
      <c r="Y35" s="684">
        <v>100000</v>
      </c>
    </row>
    <row r="36" spans="9:25" ht="11.25" customHeight="1">
      <c r="I36" s="679"/>
      <c r="J36" s="680"/>
      <c r="K36" s="680"/>
      <c r="L36" s="671">
        <v>43132</v>
      </c>
      <c r="M36" s="672" t="s">
        <v>706</v>
      </c>
      <c r="N36" s="672" t="s">
        <v>707</v>
      </c>
      <c r="O36" s="673">
        <v>102.9</v>
      </c>
      <c r="P36" s="672" t="s">
        <v>1327</v>
      </c>
      <c r="Q36" s="672" t="s">
        <v>1328</v>
      </c>
      <c r="R36" s="672" t="s">
        <v>708</v>
      </c>
      <c r="S36" s="672" t="s">
        <v>709</v>
      </c>
      <c r="T36" s="694">
        <v>205800</v>
      </c>
      <c r="U36" s="675">
        <v>-1762.5</v>
      </c>
      <c r="V36" s="694">
        <v>207562.5</v>
      </c>
      <c r="W36" s="671">
        <v>43136</v>
      </c>
      <c r="X36" s="672" t="s">
        <v>1329</v>
      </c>
      <c r="Y36" s="676">
        <v>-200000</v>
      </c>
    </row>
    <row r="37" spans="9:25" ht="11.25" customHeight="1">
      <c r="I37" s="679"/>
      <c r="J37" s="680"/>
      <c r="K37" s="680"/>
      <c r="L37" s="679">
        <v>43132</v>
      </c>
      <c r="M37" s="680" t="s">
        <v>706</v>
      </c>
      <c r="N37" s="680" t="s">
        <v>707</v>
      </c>
      <c r="O37" s="681">
        <v>102.85</v>
      </c>
      <c r="P37" s="680" t="s">
        <v>1330</v>
      </c>
      <c r="Q37" s="680" t="s">
        <v>1331</v>
      </c>
      <c r="R37" s="680" t="s">
        <v>708</v>
      </c>
      <c r="S37" s="680" t="s">
        <v>709</v>
      </c>
      <c r="T37" s="687">
        <v>154275</v>
      </c>
      <c r="U37" s="683">
        <v>-1321.88</v>
      </c>
      <c r="V37" s="687">
        <v>155596.88</v>
      </c>
      <c r="W37" s="679">
        <v>43136</v>
      </c>
      <c r="X37" s="680" t="s">
        <v>1332</v>
      </c>
      <c r="Y37" s="684">
        <v>-150000</v>
      </c>
    </row>
    <row r="38" spans="9:25" ht="11.25" customHeight="1">
      <c r="I38" s="671"/>
      <c r="J38" s="672"/>
      <c r="K38" s="672"/>
      <c r="L38" s="679">
        <v>43125</v>
      </c>
      <c r="M38" s="680" t="s">
        <v>715</v>
      </c>
      <c r="N38" s="680" t="s">
        <v>716</v>
      </c>
      <c r="O38" s="681">
        <v>102.3</v>
      </c>
      <c r="P38" s="680" t="s">
        <v>1333</v>
      </c>
      <c r="Q38" s="680" t="s">
        <v>1334</v>
      </c>
      <c r="R38" s="680" t="s">
        <v>708</v>
      </c>
      <c r="S38" s="680" t="s">
        <v>709</v>
      </c>
      <c r="T38" s="687">
        <v>204600</v>
      </c>
      <c r="U38" s="683">
        <v>-2475</v>
      </c>
      <c r="V38" s="687">
        <v>207075</v>
      </c>
      <c r="W38" s="679">
        <v>43129</v>
      </c>
      <c r="X38" s="680" t="s">
        <v>1335</v>
      </c>
      <c r="Y38" s="684">
        <v>-200000</v>
      </c>
    </row>
    <row r="39" spans="9:25" ht="11.25" customHeight="1">
      <c r="I39" s="679"/>
      <c r="J39" s="680"/>
      <c r="K39" s="680"/>
      <c r="L39" s="671">
        <v>43122</v>
      </c>
      <c r="M39" s="672" t="s">
        <v>1319</v>
      </c>
      <c r="N39" s="672" t="s">
        <v>1320</v>
      </c>
      <c r="O39" s="673">
        <v>106.75</v>
      </c>
      <c r="P39" s="672" t="s">
        <v>1336</v>
      </c>
      <c r="Q39" s="672" t="s">
        <v>1337</v>
      </c>
      <c r="R39" s="672" t="s">
        <v>708</v>
      </c>
      <c r="S39" s="672" t="s">
        <v>711</v>
      </c>
      <c r="T39" s="674">
        <v>-293562.5</v>
      </c>
      <c r="U39" s="675">
        <v>673.18</v>
      </c>
      <c r="V39" s="674">
        <v>-294235.68</v>
      </c>
      <c r="W39" s="671">
        <v>43124</v>
      </c>
      <c r="X39" s="672" t="s">
        <v>1338</v>
      </c>
      <c r="Y39" s="676">
        <v>275000</v>
      </c>
    </row>
    <row r="40" spans="9:25" ht="11.25" customHeight="1">
      <c r="I40" s="679"/>
      <c r="J40" s="680"/>
      <c r="K40" s="680"/>
      <c r="L40" s="679">
        <v>43122</v>
      </c>
      <c r="M40" s="680" t="s">
        <v>846</v>
      </c>
      <c r="N40" s="680" t="s">
        <v>847</v>
      </c>
      <c r="O40" s="681">
        <v>99.870999999999995</v>
      </c>
      <c r="P40" s="680" t="s">
        <v>1339</v>
      </c>
      <c r="Q40" s="680" t="s">
        <v>1340</v>
      </c>
      <c r="R40" s="680" t="s">
        <v>708</v>
      </c>
      <c r="S40" s="680" t="s">
        <v>709</v>
      </c>
      <c r="T40" s="682">
        <v>399484</v>
      </c>
      <c r="U40" s="683">
        <v>-2403.31</v>
      </c>
      <c r="V40" s="682">
        <v>401887.31</v>
      </c>
      <c r="W40" s="679">
        <v>43123</v>
      </c>
      <c r="X40" s="680" t="s">
        <v>1341</v>
      </c>
      <c r="Y40" s="684">
        <v>-400000</v>
      </c>
    </row>
    <row r="41" spans="9:25" ht="11.25" customHeight="1">
      <c r="I41" s="671"/>
      <c r="J41" s="672"/>
      <c r="K41" s="672"/>
      <c r="L41" s="679">
        <v>43119</v>
      </c>
      <c r="M41" s="680" t="s">
        <v>1250</v>
      </c>
      <c r="N41" s="680" t="s">
        <v>1251</v>
      </c>
      <c r="O41" s="681">
        <v>102.383</v>
      </c>
      <c r="P41" s="680" t="s">
        <v>1342</v>
      </c>
      <c r="Q41" s="680" t="s">
        <v>1343</v>
      </c>
      <c r="R41" s="680" t="s">
        <v>708</v>
      </c>
      <c r="S41" s="680" t="s">
        <v>711</v>
      </c>
      <c r="T41" s="682">
        <v>-511915</v>
      </c>
      <c r="U41" s="683">
        <v>7652.78</v>
      </c>
      <c r="V41" s="682">
        <v>-519567.78</v>
      </c>
      <c r="W41" s="679">
        <v>43122</v>
      </c>
      <c r="X41" s="680" t="s">
        <v>1344</v>
      </c>
      <c r="Y41" s="684">
        <v>500000</v>
      </c>
    </row>
    <row r="42" spans="9:25" ht="11.25" customHeight="1">
      <c r="I42" s="679"/>
      <c r="J42" s="680"/>
      <c r="K42" s="680"/>
      <c r="L42" s="671">
        <v>43118</v>
      </c>
      <c r="M42" s="672" t="s">
        <v>844</v>
      </c>
      <c r="N42" s="672" t="s">
        <v>845</v>
      </c>
      <c r="O42" s="673">
        <v>98.69</v>
      </c>
      <c r="P42" s="672" t="s">
        <v>1345</v>
      </c>
      <c r="Q42" s="672" t="s">
        <v>1346</v>
      </c>
      <c r="R42" s="672" t="s">
        <v>708</v>
      </c>
      <c r="S42" s="672" t="s">
        <v>711</v>
      </c>
      <c r="T42" s="694">
        <v>-493450</v>
      </c>
      <c r="U42" s="675">
        <v>6235.42</v>
      </c>
      <c r="V42" s="694">
        <v>-499685.42</v>
      </c>
      <c r="W42" s="671">
        <v>43122</v>
      </c>
      <c r="X42" s="672" t="s">
        <v>1347</v>
      </c>
      <c r="Y42" s="676">
        <v>500000</v>
      </c>
    </row>
    <row r="43" spans="9:25" ht="11.25" customHeight="1">
      <c r="I43" s="671"/>
      <c r="J43" s="672"/>
      <c r="K43" s="672"/>
      <c r="L43" s="679">
        <v>43118</v>
      </c>
      <c r="M43" s="680" t="s">
        <v>713</v>
      </c>
      <c r="N43" s="680" t="s">
        <v>714</v>
      </c>
      <c r="O43" s="681">
        <v>103.05</v>
      </c>
      <c r="P43" s="680" t="s">
        <v>1348</v>
      </c>
      <c r="Q43" s="680" t="s">
        <v>1349</v>
      </c>
      <c r="R43" s="680" t="s">
        <v>708</v>
      </c>
      <c r="S43" s="680" t="s">
        <v>711</v>
      </c>
      <c r="T43" s="687">
        <v>-103050</v>
      </c>
      <c r="U43" s="683">
        <v>1770.83</v>
      </c>
      <c r="V43" s="687">
        <v>-104820.83</v>
      </c>
      <c r="W43" s="679">
        <v>43122</v>
      </c>
      <c r="X43" s="680" t="s">
        <v>1350</v>
      </c>
      <c r="Y43" s="684">
        <v>100000</v>
      </c>
    </row>
    <row r="44" spans="9:25" ht="11.25" customHeight="1">
      <c r="I44" s="671"/>
      <c r="J44" s="672"/>
      <c r="K44" s="672"/>
      <c r="L44" s="671">
        <v>43118</v>
      </c>
      <c r="M44" s="672" t="s">
        <v>846</v>
      </c>
      <c r="N44" s="672" t="s">
        <v>847</v>
      </c>
      <c r="O44" s="673">
        <v>99.866</v>
      </c>
      <c r="P44" s="672" t="s">
        <v>1351</v>
      </c>
      <c r="Q44" s="672" t="s">
        <v>1352</v>
      </c>
      <c r="R44" s="672" t="s">
        <v>708</v>
      </c>
      <c r="S44" s="672" t="s">
        <v>709</v>
      </c>
      <c r="T44" s="694">
        <v>1398124</v>
      </c>
      <c r="U44" s="675">
        <v>-8179.56</v>
      </c>
      <c r="V44" s="694">
        <v>1406303.56</v>
      </c>
      <c r="W44" s="671">
        <v>43119</v>
      </c>
      <c r="X44" s="672" t="s">
        <v>1353</v>
      </c>
      <c r="Y44" s="676">
        <v>-1400000</v>
      </c>
    </row>
    <row r="45" spans="9:25" ht="11.25" customHeight="1">
      <c r="I45" s="679"/>
      <c r="J45" s="680"/>
      <c r="K45" s="680"/>
      <c r="L45" s="671">
        <v>43117</v>
      </c>
      <c r="M45" s="672" t="s">
        <v>842</v>
      </c>
      <c r="N45" s="672" t="s">
        <v>843</v>
      </c>
      <c r="O45" s="673">
        <v>112.6</v>
      </c>
      <c r="P45" s="672" t="s">
        <v>1354</v>
      </c>
      <c r="Q45" s="672" t="s">
        <v>1355</v>
      </c>
      <c r="R45" s="672" t="s">
        <v>708</v>
      </c>
      <c r="S45" s="672" t="s">
        <v>711</v>
      </c>
      <c r="T45" s="674">
        <v>-337800</v>
      </c>
      <c r="U45" s="675">
        <v>7046.88</v>
      </c>
      <c r="V45" s="674">
        <v>-344846.88</v>
      </c>
      <c r="W45" s="671">
        <v>43119</v>
      </c>
      <c r="X45" s="672" t="s">
        <v>1356</v>
      </c>
      <c r="Y45" s="676">
        <v>300000</v>
      </c>
    </row>
    <row r="46" spans="9:25" ht="11.25" customHeight="1">
      <c r="I46" s="671"/>
      <c r="J46" s="672"/>
      <c r="K46" s="672"/>
      <c r="L46" s="679">
        <v>43117</v>
      </c>
      <c r="M46" s="680" t="s">
        <v>713</v>
      </c>
      <c r="N46" s="680" t="s">
        <v>714</v>
      </c>
      <c r="O46" s="681">
        <v>103.8</v>
      </c>
      <c r="P46" s="680" t="s">
        <v>1357</v>
      </c>
      <c r="Q46" s="680" t="s">
        <v>1358</v>
      </c>
      <c r="R46" s="680" t="s">
        <v>708</v>
      </c>
      <c r="S46" s="680" t="s">
        <v>709</v>
      </c>
      <c r="T46" s="687">
        <v>207600</v>
      </c>
      <c r="U46" s="683">
        <v>-3437.5</v>
      </c>
      <c r="V46" s="687">
        <v>211037.5</v>
      </c>
      <c r="W46" s="679">
        <v>43119</v>
      </c>
      <c r="X46" s="680" t="s">
        <v>1359</v>
      </c>
      <c r="Y46" s="684">
        <v>-200000</v>
      </c>
    </row>
    <row r="47" spans="9:25" ht="11.25" customHeight="1">
      <c r="I47" s="679"/>
      <c r="J47" s="680"/>
      <c r="K47" s="680"/>
      <c r="L47" s="671">
        <v>43116</v>
      </c>
      <c r="M47" s="672" t="s">
        <v>846</v>
      </c>
      <c r="N47" s="672" t="s">
        <v>847</v>
      </c>
      <c r="O47" s="673">
        <v>99.897000000000006</v>
      </c>
      <c r="P47" s="672" t="s">
        <v>1360</v>
      </c>
      <c r="Q47" s="672" t="s">
        <v>1361</v>
      </c>
      <c r="R47" s="672" t="s">
        <v>708</v>
      </c>
      <c r="S47" s="672" t="s">
        <v>711</v>
      </c>
      <c r="T47" s="694">
        <v>-499485</v>
      </c>
      <c r="U47" s="675">
        <v>2879.83</v>
      </c>
      <c r="V47" s="694">
        <v>-502364.83</v>
      </c>
      <c r="W47" s="671">
        <v>43117</v>
      </c>
      <c r="X47" s="672" t="s">
        <v>1362</v>
      </c>
      <c r="Y47" s="676">
        <v>500000</v>
      </c>
    </row>
    <row r="48" spans="9:25" ht="11.25" customHeight="1">
      <c r="I48" s="679"/>
      <c r="J48" s="680"/>
      <c r="K48" s="680"/>
      <c r="L48" s="679">
        <v>43116</v>
      </c>
      <c r="M48" s="680" t="s">
        <v>846</v>
      </c>
      <c r="N48" s="680" t="s">
        <v>847</v>
      </c>
      <c r="O48" s="681">
        <v>99.897000000000006</v>
      </c>
      <c r="P48" s="680" t="s">
        <v>1363</v>
      </c>
      <c r="Q48" s="680" t="s">
        <v>1361</v>
      </c>
      <c r="R48" s="680" t="s">
        <v>708</v>
      </c>
      <c r="S48" s="680" t="s">
        <v>711</v>
      </c>
      <c r="T48" s="687">
        <v>-1398558</v>
      </c>
      <c r="U48" s="683">
        <v>8063.54</v>
      </c>
      <c r="V48" s="687">
        <v>-1406621.54</v>
      </c>
      <c r="W48" s="679">
        <v>43117</v>
      </c>
      <c r="X48" s="680" t="s">
        <v>1364</v>
      </c>
      <c r="Y48" s="684">
        <v>1400000</v>
      </c>
    </row>
    <row r="49" spans="9:25" ht="11.25" customHeight="1">
      <c r="I49" s="671"/>
      <c r="J49" s="672"/>
      <c r="K49" s="672"/>
      <c r="L49" s="679">
        <v>43116</v>
      </c>
      <c r="M49" s="680" t="s">
        <v>846</v>
      </c>
      <c r="N49" s="680" t="s">
        <v>847</v>
      </c>
      <c r="O49" s="681">
        <v>99.897000000000006</v>
      </c>
      <c r="P49" s="680" t="s">
        <v>1363</v>
      </c>
      <c r="Q49" s="680" t="s">
        <v>1361</v>
      </c>
      <c r="R49" s="680" t="s">
        <v>708</v>
      </c>
      <c r="S49" s="680" t="s">
        <v>711</v>
      </c>
      <c r="T49" s="687">
        <v>-1398558</v>
      </c>
      <c r="U49" s="683">
        <v>8063.54</v>
      </c>
      <c r="V49" s="687">
        <v>-1406621.54</v>
      </c>
      <c r="W49" s="679">
        <v>43117</v>
      </c>
      <c r="X49" s="680" t="s">
        <v>1365</v>
      </c>
      <c r="Y49" s="684">
        <v>1400000</v>
      </c>
    </row>
    <row r="50" spans="9:25" ht="11.25" customHeight="1">
      <c r="I50" s="679"/>
      <c r="J50" s="680"/>
      <c r="K50" s="680"/>
      <c r="L50" s="671">
        <v>43116</v>
      </c>
      <c r="M50" s="672" t="s">
        <v>846</v>
      </c>
      <c r="N50" s="672" t="s">
        <v>847</v>
      </c>
      <c r="O50" s="673">
        <v>99.897000000000006</v>
      </c>
      <c r="P50" s="672" t="s">
        <v>1363</v>
      </c>
      <c r="Q50" s="672" t="s">
        <v>1361</v>
      </c>
      <c r="R50" s="672" t="s">
        <v>708</v>
      </c>
      <c r="S50" s="672" t="s">
        <v>711</v>
      </c>
      <c r="T50" s="694">
        <v>-1398558</v>
      </c>
      <c r="U50" s="675">
        <v>8063.54</v>
      </c>
      <c r="V50" s="694">
        <v>-1406621.54</v>
      </c>
      <c r="W50" s="671">
        <v>43117</v>
      </c>
      <c r="X50" s="672" t="s">
        <v>1366</v>
      </c>
      <c r="Y50" s="676">
        <v>1400000</v>
      </c>
    </row>
    <row r="51" spans="9:25" ht="11.25" customHeight="1">
      <c r="I51" s="671"/>
      <c r="J51" s="672"/>
      <c r="K51" s="685"/>
      <c r="L51" s="679">
        <v>43110</v>
      </c>
      <c r="M51" s="680" t="s">
        <v>715</v>
      </c>
      <c r="N51" s="680" t="s">
        <v>716</v>
      </c>
      <c r="O51" s="681">
        <v>102.3</v>
      </c>
      <c r="P51" s="680" t="s">
        <v>1333</v>
      </c>
      <c r="Q51" s="680" t="s">
        <v>1367</v>
      </c>
      <c r="R51" s="680" t="s">
        <v>708</v>
      </c>
      <c r="S51" s="680" t="s">
        <v>709</v>
      </c>
      <c r="T51" s="682">
        <v>204600</v>
      </c>
      <c r="U51" s="683">
        <v>-2050</v>
      </c>
      <c r="V51" s="682">
        <v>206650</v>
      </c>
      <c r="W51" s="679">
        <v>43112</v>
      </c>
      <c r="X51" s="680" t="s">
        <v>1368</v>
      </c>
      <c r="Y51" s="684">
        <v>-200000</v>
      </c>
    </row>
    <row r="52" spans="9:25" ht="11.25" customHeight="1">
      <c r="I52" s="679"/>
      <c r="J52" s="680"/>
      <c r="K52" s="695"/>
      <c r="L52" s="671">
        <v>43108</v>
      </c>
      <c r="M52" s="672" t="s">
        <v>842</v>
      </c>
      <c r="N52" s="685" t="s">
        <v>843</v>
      </c>
      <c r="O52" s="673">
        <v>112.703</v>
      </c>
      <c r="P52" s="672" t="s">
        <v>1369</v>
      </c>
      <c r="Q52" s="672" t="s">
        <v>1370</v>
      </c>
      <c r="R52" s="672" t="s">
        <v>708</v>
      </c>
      <c r="S52" s="672" t="s">
        <v>711</v>
      </c>
      <c r="T52" s="694">
        <v>-563515</v>
      </c>
      <c r="U52" s="675">
        <v>10789.93</v>
      </c>
      <c r="V52" s="694">
        <v>-574304.93000000005</v>
      </c>
      <c r="W52" s="671">
        <v>43109</v>
      </c>
      <c r="X52" s="672" t="s">
        <v>1371</v>
      </c>
      <c r="Y52" s="676">
        <v>500000</v>
      </c>
    </row>
    <row r="53" spans="9:25" ht="11.25" customHeight="1">
      <c r="I53" s="671"/>
      <c r="J53" s="672"/>
      <c r="K53" s="685"/>
      <c r="L53" s="679">
        <v>43105</v>
      </c>
      <c r="M53" s="680" t="s">
        <v>715</v>
      </c>
      <c r="N53" s="695" t="s">
        <v>716</v>
      </c>
      <c r="O53" s="681">
        <v>102.35</v>
      </c>
      <c r="P53" s="680" t="s">
        <v>1372</v>
      </c>
      <c r="Q53" s="680" t="s">
        <v>1373</v>
      </c>
      <c r="R53" s="680" t="s">
        <v>708</v>
      </c>
      <c r="S53" s="680" t="s">
        <v>709</v>
      </c>
      <c r="T53" s="682">
        <v>204700</v>
      </c>
      <c r="U53" s="683">
        <v>-1975</v>
      </c>
      <c r="V53" s="682">
        <v>206675</v>
      </c>
      <c r="W53" s="679">
        <v>43109</v>
      </c>
      <c r="X53" s="680" t="s">
        <v>1374</v>
      </c>
      <c r="Y53" s="684">
        <v>-200000</v>
      </c>
    </row>
    <row r="54" spans="9:25" ht="11.25" customHeight="1">
      <c r="I54" s="679"/>
      <c r="J54" s="680"/>
      <c r="K54" s="695"/>
      <c r="L54" s="671">
        <v>43102</v>
      </c>
      <c r="M54" s="672" t="s">
        <v>706</v>
      </c>
      <c r="N54" s="685" t="s">
        <v>707</v>
      </c>
      <c r="O54" s="673">
        <v>103.05</v>
      </c>
      <c r="P54" s="672" t="s">
        <v>1375</v>
      </c>
      <c r="Q54" s="672" t="s">
        <v>1376</v>
      </c>
      <c r="R54" s="672" t="s">
        <v>708</v>
      </c>
      <c r="S54" s="672" t="s">
        <v>709</v>
      </c>
      <c r="T54" s="694">
        <v>309150</v>
      </c>
      <c r="U54" s="675">
        <v>-900</v>
      </c>
      <c r="V54" s="694">
        <v>310050</v>
      </c>
      <c r="W54" s="671">
        <v>43104</v>
      </c>
      <c r="X54" s="672" t="s">
        <v>1377</v>
      </c>
      <c r="Y54" s="676">
        <v>-300000</v>
      </c>
    </row>
    <row r="55" spans="9:25" ht="11.25" customHeight="1">
      <c r="I55" s="679"/>
      <c r="J55" s="680"/>
      <c r="K55" s="680"/>
      <c r="L55" s="939"/>
      <c r="M55" s="786"/>
      <c r="N55" s="940"/>
      <c r="O55" s="941"/>
      <c r="P55" s="786"/>
      <c r="Q55" s="786" t="s">
        <v>1378</v>
      </c>
      <c r="R55" s="786"/>
      <c r="S55" s="786" t="s">
        <v>711</v>
      </c>
      <c r="T55" s="942">
        <v>149625</v>
      </c>
      <c r="U55" s="943">
        <v>1437.5</v>
      </c>
      <c r="V55" s="942">
        <v>151062.5</v>
      </c>
      <c r="W55" s="939">
        <v>43124</v>
      </c>
      <c r="X55" s="786"/>
      <c r="Y55" s="944">
        <v>150000</v>
      </c>
    </row>
    <row r="56" spans="9:25" ht="11.25" customHeight="1">
      <c r="I56" s="679"/>
      <c r="J56" s="680"/>
      <c r="K56" s="680"/>
      <c r="L56" s="696"/>
      <c r="M56" s="697"/>
      <c r="N56" s="697"/>
      <c r="O56" s="698"/>
      <c r="P56" s="697"/>
      <c r="Q56" s="697"/>
      <c r="R56" s="697"/>
      <c r="S56" s="697"/>
      <c r="T56" s="699">
        <v>-5591595</v>
      </c>
      <c r="U56" s="699">
        <v>71525.899999999994</v>
      </c>
      <c r="V56" s="699">
        <v>-5552333.3999999994</v>
      </c>
      <c r="W56" s="696"/>
      <c r="X56" s="697"/>
      <c r="Y56" s="700">
        <v>4106000</v>
      </c>
    </row>
    <row r="57" spans="9:25" ht="11.25" customHeight="1">
      <c r="I57" s="696"/>
      <c r="J57" s="697"/>
      <c r="K57" s="697"/>
      <c r="L57"/>
      <c r="M57"/>
      <c r="N57"/>
      <c r="O57"/>
      <c r="P57"/>
      <c r="Q57"/>
      <c r="R57"/>
      <c r="S57"/>
      <c r="T57"/>
      <c r="U57" s="787"/>
      <c r="V57"/>
      <c r="W57"/>
      <c r="X57"/>
      <c r="Y57"/>
    </row>
    <row r="58" spans="9:25" ht="11.25" customHeight="1">
      <c r="I58"/>
      <c r="J58"/>
      <c r="K58"/>
      <c r="L58" s="679"/>
      <c r="M58" s="680"/>
      <c r="N58" s="680"/>
      <c r="O58" s="681"/>
      <c r="P58" s="680"/>
      <c r="Q58" s="680"/>
      <c r="R58" s="680"/>
      <c r="S58" s="680"/>
      <c r="T58" s="682"/>
      <c r="U58" s="683"/>
      <c r="V58" s="682"/>
      <c r="W58" s="679"/>
      <c r="X58" s="680"/>
      <c r="Y58" s="684"/>
    </row>
    <row r="59" spans="9:25" ht="11.25" customHeight="1">
      <c r="I59" s="679"/>
      <c r="J59" s="680"/>
      <c r="K59" s="680"/>
      <c r="L59" s="671"/>
      <c r="M59" s="672"/>
      <c r="N59" s="672"/>
      <c r="O59" s="673"/>
      <c r="P59" s="672"/>
      <c r="Q59" s="672"/>
      <c r="R59" s="672"/>
      <c r="S59" s="672"/>
      <c r="T59" s="674"/>
      <c r="U59" s="675"/>
      <c r="V59" s="674"/>
      <c r="W59" s="671"/>
      <c r="X59" s="672"/>
      <c r="Y59" s="676"/>
    </row>
    <row r="60" spans="9:25" ht="11.25" customHeight="1">
      <c r="I60" s="671"/>
      <c r="J60" s="672"/>
      <c r="K60" s="672"/>
      <c r="L60" s="671"/>
      <c r="M60" s="672"/>
      <c r="N60" s="672"/>
      <c r="O60" s="673"/>
      <c r="P60" s="672"/>
      <c r="Q60" s="672"/>
      <c r="R60" s="672"/>
      <c r="S60" s="672"/>
      <c r="T60" s="694"/>
      <c r="U60" s="675"/>
      <c r="V60" s="694"/>
      <c r="W60" s="671"/>
      <c r="X60" s="672"/>
      <c r="Y60" s="676"/>
    </row>
    <row r="61" spans="9:25" ht="11.25" customHeight="1">
      <c r="I61" s="671"/>
      <c r="J61" s="672"/>
      <c r="K61" s="672"/>
      <c r="L61" s="671"/>
      <c r="M61" s="672"/>
      <c r="N61" s="672"/>
      <c r="O61" s="673"/>
      <c r="P61" s="672"/>
      <c r="Q61" s="672"/>
      <c r="R61" s="672"/>
      <c r="S61" s="672"/>
      <c r="T61" s="674"/>
      <c r="U61" s="675"/>
      <c r="V61" s="674"/>
      <c r="W61" s="671"/>
      <c r="X61" s="672"/>
      <c r="Y61" s="676"/>
    </row>
    <row r="62" spans="9:25" ht="11.25" customHeight="1">
      <c r="I62" s="671"/>
      <c r="J62" s="672"/>
      <c r="K62" s="672"/>
      <c r="L62" s="679"/>
      <c r="M62" s="680"/>
      <c r="N62" s="680"/>
      <c r="O62" s="681"/>
      <c r="P62" s="680"/>
      <c r="Q62" s="680"/>
      <c r="R62" s="680"/>
      <c r="S62" s="680"/>
      <c r="T62" s="687"/>
      <c r="U62" s="683"/>
      <c r="V62" s="687"/>
      <c r="W62" s="679"/>
      <c r="X62" s="680"/>
      <c r="Y62" s="684"/>
    </row>
    <row r="63" spans="9:25" ht="11.25" customHeight="1">
      <c r="I63" s="679"/>
      <c r="J63" s="680"/>
      <c r="K63" s="680"/>
      <c r="L63" s="671"/>
      <c r="M63" s="672"/>
      <c r="N63" s="672"/>
      <c r="O63" s="673"/>
      <c r="P63" s="672"/>
      <c r="Q63" s="672"/>
      <c r="R63" s="672"/>
      <c r="S63" s="672"/>
      <c r="T63" s="694"/>
      <c r="U63" s="675"/>
      <c r="V63" s="694"/>
      <c r="W63" s="671"/>
      <c r="X63" s="672"/>
      <c r="Y63" s="676"/>
    </row>
    <row r="64" spans="9:25" ht="11.25" customHeight="1">
      <c r="I64" s="671"/>
      <c r="J64" s="672"/>
      <c r="K64" s="672"/>
      <c r="L64" s="679"/>
      <c r="M64" s="680"/>
      <c r="N64" s="680"/>
      <c r="O64" s="681"/>
      <c r="P64" s="680"/>
      <c r="Q64" s="680"/>
      <c r="R64" s="680"/>
      <c r="S64" s="680"/>
      <c r="T64" s="687"/>
      <c r="U64" s="683"/>
      <c r="V64" s="687"/>
      <c r="W64" s="679"/>
      <c r="X64" s="680"/>
      <c r="Y64" s="684"/>
    </row>
    <row r="65" spans="9:25" ht="11.25" customHeight="1">
      <c r="I65" s="679"/>
      <c r="J65" s="680"/>
      <c r="K65" s="680"/>
      <c r="L65" s="671"/>
      <c r="M65" s="672"/>
      <c r="N65" s="685"/>
      <c r="O65" s="673"/>
      <c r="P65" s="672"/>
      <c r="Q65" s="672"/>
      <c r="R65" s="672"/>
      <c r="S65" s="672"/>
      <c r="T65" s="674"/>
      <c r="U65" s="675"/>
      <c r="V65" s="674"/>
      <c r="W65" s="671"/>
      <c r="X65" s="672"/>
      <c r="Y65" s="676"/>
    </row>
    <row r="66" spans="9:25" ht="11.25" customHeight="1">
      <c r="I66" s="671"/>
      <c r="J66" s="672"/>
      <c r="K66" s="685"/>
      <c r="L66" s="679"/>
      <c r="M66" s="680"/>
      <c r="N66" s="680"/>
      <c r="O66" s="681"/>
      <c r="P66" s="680"/>
      <c r="Q66" s="680"/>
      <c r="R66" s="680"/>
      <c r="S66" s="680"/>
      <c r="T66" s="682"/>
      <c r="U66" s="683"/>
      <c r="V66" s="682"/>
      <c r="W66" s="679"/>
      <c r="X66" s="680"/>
      <c r="Y66" s="684"/>
    </row>
    <row r="67" spans="9:25" ht="11.25" customHeight="1">
      <c r="I67" s="679"/>
      <c r="J67" s="680"/>
      <c r="K67" s="680"/>
      <c r="L67" s="671"/>
      <c r="M67" s="672"/>
      <c r="N67" s="672"/>
      <c r="O67" s="673"/>
      <c r="P67" s="672"/>
      <c r="Q67" s="672"/>
      <c r="R67" s="672"/>
      <c r="S67" s="672"/>
      <c r="T67" s="694"/>
      <c r="U67" s="675"/>
      <c r="V67" s="694"/>
      <c r="W67" s="671"/>
      <c r="X67" s="672"/>
      <c r="Y67" s="676"/>
    </row>
    <row r="68" spans="9:25" ht="11.25" customHeight="1">
      <c r="I68" s="671"/>
      <c r="J68" s="672"/>
      <c r="K68" s="672"/>
      <c r="L68" s="679"/>
      <c r="M68" s="680"/>
      <c r="N68" s="695"/>
      <c r="O68" s="681"/>
      <c r="P68" s="680"/>
      <c r="Q68" s="680"/>
      <c r="R68" s="680"/>
      <c r="S68" s="680"/>
      <c r="T68" s="682"/>
      <c r="U68" s="683"/>
      <c r="V68" s="682"/>
      <c r="W68" s="679"/>
      <c r="X68" s="680"/>
      <c r="Y68" s="684"/>
    </row>
    <row r="69" spans="9:25" ht="11.25" customHeight="1">
      <c r="I69" s="679"/>
      <c r="J69" s="680"/>
      <c r="K69" s="695"/>
      <c r="L69" s="671"/>
      <c r="M69" s="672"/>
      <c r="N69" s="672"/>
      <c r="O69" s="673"/>
      <c r="P69" s="672"/>
      <c r="Q69" s="672"/>
      <c r="R69" s="672"/>
      <c r="S69" s="672"/>
      <c r="T69" s="694"/>
      <c r="U69" s="675"/>
      <c r="V69" s="694"/>
      <c r="W69" s="671"/>
      <c r="X69" s="672"/>
      <c r="Y69" s="676"/>
    </row>
    <row r="70" spans="9:25" ht="11.25" customHeight="1">
      <c r="I70" s="671"/>
      <c r="J70" s="672"/>
      <c r="K70" s="672"/>
      <c r="L70" s="679"/>
      <c r="M70" s="680"/>
      <c r="N70" s="680"/>
      <c r="O70" s="681"/>
      <c r="P70" s="680"/>
      <c r="Q70" s="680"/>
      <c r="R70" s="680"/>
      <c r="S70" s="680"/>
      <c r="T70" s="682"/>
      <c r="U70" s="683"/>
      <c r="V70" s="682"/>
      <c r="W70" s="679"/>
      <c r="X70" s="680"/>
      <c r="Y70" s="684"/>
    </row>
    <row r="71" spans="9:25" ht="11.25" customHeight="1">
      <c r="I71" s="679"/>
      <c r="J71" s="680"/>
      <c r="K71" s="680"/>
      <c r="L71" s="671"/>
      <c r="M71" s="672"/>
      <c r="N71" s="672"/>
      <c r="O71" s="673"/>
      <c r="P71" s="672"/>
      <c r="Q71" s="672"/>
      <c r="R71" s="672"/>
      <c r="S71" s="672"/>
      <c r="T71" s="694"/>
      <c r="U71" s="675"/>
      <c r="V71" s="694"/>
      <c r="W71" s="671"/>
      <c r="X71" s="672"/>
      <c r="Y71" s="676"/>
    </row>
    <row r="72" spans="9:25" ht="11.25" customHeight="1">
      <c r="I72" s="671"/>
      <c r="J72" s="672"/>
      <c r="K72" s="672"/>
      <c r="L72" s="679"/>
      <c r="M72" s="680"/>
      <c r="N72" s="680"/>
      <c r="O72" s="681"/>
      <c r="P72" s="680"/>
      <c r="Q72" s="680"/>
      <c r="R72" s="680"/>
      <c r="S72" s="680"/>
      <c r="T72" s="682"/>
      <c r="U72" s="683"/>
      <c r="V72" s="682"/>
      <c r="W72" s="679"/>
      <c r="X72" s="680"/>
      <c r="Y72" s="684"/>
    </row>
    <row r="73" spans="9:25" ht="11.25" customHeight="1">
      <c r="I73" s="679"/>
      <c r="J73" s="680"/>
      <c r="K73" s="680"/>
      <c r="L73" s="671"/>
      <c r="M73" s="672"/>
      <c r="N73" s="672"/>
      <c r="O73" s="673"/>
      <c r="P73" s="672"/>
      <c r="Q73" s="672"/>
      <c r="R73" s="672"/>
      <c r="S73" s="672"/>
      <c r="T73" s="674"/>
      <c r="U73" s="675"/>
      <c r="V73" s="674"/>
      <c r="W73" s="671"/>
      <c r="X73" s="672"/>
      <c r="Y73" s="676"/>
    </row>
    <row r="74" spans="9:25" ht="11.25" customHeight="1">
      <c r="I74" s="671"/>
      <c r="J74" s="672"/>
      <c r="K74" s="672"/>
      <c r="L74" s="679"/>
      <c r="M74" s="680"/>
      <c r="N74" s="680"/>
      <c r="O74" s="681"/>
      <c r="P74" s="680"/>
      <c r="Q74" s="680"/>
      <c r="R74" s="680"/>
      <c r="S74" s="680"/>
      <c r="T74" s="687"/>
      <c r="U74" s="683"/>
      <c r="V74" s="687"/>
      <c r="W74" s="679"/>
      <c r="X74" s="680"/>
      <c r="Y74" s="684"/>
    </row>
    <row r="75" spans="9:25" ht="11.25" customHeight="1">
      <c r="I75" s="679"/>
      <c r="J75" s="680"/>
      <c r="K75" s="680"/>
      <c r="L75" s="671"/>
      <c r="M75" s="672"/>
      <c r="N75" s="672"/>
      <c r="O75" s="673"/>
      <c r="P75" s="672"/>
      <c r="Q75" s="672"/>
      <c r="R75" s="672"/>
      <c r="S75" s="672"/>
      <c r="T75" s="674"/>
      <c r="U75" s="675"/>
      <c r="V75" s="674"/>
      <c r="W75" s="671"/>
      <c r="X75" s="672"/>
      <c r="Y75" s="676"/>
    </row>
    <row r="76" spans="9:25" ht="11.25" customHeight="1">
      <c r="I76" s="671"/>
      <c r="J76" s="672"/>
      <c r="K76" s="672"/>
      <c r="L76" s="679"/>
      <c r="M76" s="680"/>
      <c r="N76" s="680"/>
      <c r="O76" s="681"/>
      <c r="P76" s="680"/>
      <c r="Q76" s="680"/>
      <c r="R76" s="680"/>
      <c r="S76" s="680"/>
      <c r="T76" s="682"/>
      <c r="U76" s="683"/>
      <c r="V76" s="682"/>
      <c r="W76" s="679"/>
      <c r="X76" s="680"/>
      <c r="Y76" s="684"/>
    </row>
    <row r="77" spans="9:25" ht="11.25" customHeight="1">
      <c r="I77" s="679"/>
      <c r="J77" s="680"/>
      <c r="K77" s="680"/>
      <c r="L77" s="671"/>
      <c r="M77" s="672"/>
      <c r="N77" s="672"/>
      <c r="O77" s="673"/>
      <c r="P77" s="672"/>
      <c r="Q77" s="672"/>
      <c r="R77" s="672"/>
      <c r="S77" s="672"/>
      <c r="T77" s="674"/>
      <c r="U77" s="675"/>
      <c r="V77" s="674"/>
      <c r="W77" s="671"/>
      <c r="X77" s="672"/>
      <c r="Y77" s="676"/>
    </row>
    <row r="78" spans="9:25" ht="11.25" customHeight="1">
      <c r="I78" s="671"/>
      <c r="J78" s="672"/>
      <c r="K78" s="672"/>
      <c r="L78" s="671"/>
      <c r="M78" s="672"/>
      <c r="N78" s="672"/>
      <c r="O78" s="673"/>
      <c r="P78" s="672"/>
      <c r="Q78" s="672"/>
      <c r="R78" s="672"/>
      <c r="S78" s="672"/>
      <c r="T78" s="694"/>
      <c r="U78" s="675"/>
      <c r="V78" s="694"/>
      <c r="W78" s="671"/>
      <c r="X78" s="672"/>
      <c r="Y78" s="676"/>
    </row>
    <row r="79" spans="9:25" ht="11.25" customHeight="1">
      <c r="I79" s="671"/>
      <c r="J79" s="672"/>
      <c r="K79" s="672"/>
      <c r="L79" s="679"/>
      <c r="M79" s="680"/>
      <c r="N79" s="680"/>
      <c r="O79" s="681"/>
      <c r="P79" s="680"/>
      <c r="Q79" s="680"/>
      <c r="R79" s="680"/>
      <c r="S79" s="680"/>
      <c r="T79" s="687"/>
      <c r="U79" s="683"/>
      <c r="V79" s="687"/>
      <c r="W79" s="679"/>
      <c r="X79" s="680"/>
      <c r="Y79" s="684"/>
    </row>
    <row r="80" spans="9:25" ht="11.25" customHeight="1">
      <c r="I80" s="679"/>
      <c r="J80" s="680"/>
      <c r="K80" s="680"/>
      <c r="L80" s="671"/>
      <c r="M80" s="672"/>
      <c r="N80" s="672"/>
      <c r="O80" s="673"/>
      <c r="P80" s="672"/>
      <c r="Q80" s="672"/>
      <c r="R80" s="672"/>
      <c r="S80" s="672"/>
      <c r="T80" s="674"/>
      <c r="U80" s="675"/>
      <c r="V80" s="674"/>
      <c r="W80" s="671"/>
      <c r="X80" s="672"/>
      <c r="Y80" s="676"/>
    </row>
    <row r="81" spans="9:25" ht="11.25" customHeight="1">
      <c r="I81" s="671"/>
      <c r="J81" s="672"/>
      <c r="K81" s="672"/>
      <c r="L81" s="679"/>
      <c r="M81" s="680"/>
      <c r="N81" s="680"/>
      <c r="O81" s="681"/>
      <c r="P81" s="680"/>
      <c r="Q81" s="680"/>
      <c r="R81" s="680"/>
      <c r="S81" s="680"/>
      <c r="T81" s="682"/>
      <c r="U81" s="683"/>
      <c r="V81" s="682"/>
      <c r="W81" s="679"/>
      <c r="X81" s="680"/>
      <c r="Y81" s="684"/>
    </row>
    <row r="82" spans="9:25" ht="11.25" customHeight="1">
      <c r="I82" s="679"/>
      <c r="J82" s="680"/>
      <c r="K82" s="680"/>
      <c r="L82" s="671"/>
      <c r="M82" s="672"/>
      <c r="N82" s="672"/>
      <c r="O82" s="673"/>
      <c r="P82" s="672"/>
      <c r="Q82" s="672"/>
      <c r="R82" s="672"/>
      <c r="S82" s="672"/>
      <c r="T82" s="674"/>
      <c r="U82" s="675"/>
      <c r="V82" s="674"/>
      <c r="W82" s="671"/>
      <c r="X82" s="672"/>
      <c r="Y82" s="676"/>
    </row>
    <row r="83" spans="9:25" ht="11.25" customHeight="1">
      <c r="I83" s="671"/>
      <c r="J83" s="672"/>
      <c r="K83" s="672"/>
      <c r="L83" s="679"/>
      <c r="M83" s="680"/>
      <c r="N83" s="680"/>
      <c r="O83" s="681"/>
      <c r="P83" s="680"/>
      <c r="Q83" s="680"/>
      <c r="R83" s="680"/>
      <c r="S83" s="680"/>
      <c r="T83" s="687"/>
      <c r="U83" s="683"/>
      <c r="V83" s="687"/>
      <c r="W83" s="679"/>
      <c r="X83" s="680"/>
      <c r="Y83" s="684"/>
    </row>
    <row r="84" spans="9:25" ht="11.25" customHeight="1">
      <c r="I84" s="679"/>
      <c r="J84" s="680"/>
      <c r="K84" s="680"/>
      <c r="L84" s="671"/>
      <c r="M84" s="672"/>
      <c r="N84" s="672"/>
      <c r="O84" s="673"/>
      <c r="P84" s="672"/>
      <c r="Q84" s="672"/>
      <c r="R84" s="672"/>
      <c r="S84" s="672"/>
      <c r="T84" s="694"/>
      <c r="U84" s="675"/>
      <c r="V84" s="694"/>
      <c r="W84" s="671"/>
      <c r="X84" s="672"/>
      <c r="Y84" s="676"/>
    </row>
    <row r="85" spans="9:25" ht="11.25" customHeight="1">
      <c r="I85" s="671"/>
      <c r="J85" s="672"/>
      <c r="K85" s="672"/>
      <c r="L85" s="679"/>
      <c r="M85" s="680"/>
      <c r="N85" s="680"/>
      <c r="O85" s="681"/>
      <c r="P85" s="680"/>
      <c r="Q85" s="680"/>
      <c r="R85" s="680"/>
      <c r="S85" s="680"/>
      <c r="T85" s="687"/>
      <c r="U85" s="683"/>
      <c r="V85" s="687"/>
      <c r="W85" s="679"/>
      <c r="X85" s="680"/>
      <c r="Y85" s="684"/>
    </row>
    <row r="86" spans="9:25" ht="11.25" customHeight="1">
      <c r="I86" s="679"/>
      <c r="J86" s="680"/>
      <c r="K86" s="680"/>
      <c r="L86" s="671"/>
      <c r="M86" s="672"/>
      <c r="N86" s="672"/>
      <c r="O86" s="673"/>
      <c r="P86" s="672"/>
      <c r="Q86" s="672"/>
      <c r="R86" s="672"/>
      <c r="S86" s="672"/>
      <c r="T86" s="674"/>
      <c r="U86" s="675"/>
      <c r="V86" s="674"/>
      <c r="W86" s="671"/>
      <c r="X86" s="672"/>
      <c r="Y86" s="676"/>
    </row>
    <row r="87" spans="9:25" ht="11.25" customHeight="1">
      <c r="I87" s="671"/>
      <c r="J87" s="672"/>
      <c r="K87" s="672"/>
      <c r="L87" s="679"/>
      <c r="M87" s="680"/>
      <c r="N87" s="680"/>
      <c r="O87" s="681"/>
      <c r="P87" s="680"/>
      <c r="Q87" s="680"/>
      <c r="R87" s="680"/>
      <c r="S87" s="680"/>
      <c r="T87" s="682"/>
      <c r="U87" s="683"/>
      <c r="V87" s="682"/>
      <c r="W87" s="679"/>
      <c r="X87" s="680"/>
      <c r="Y87" s="684"/>
    </row>
    <row r="88" spans="9:25" ht="11.25" customHeight="1">
      <c r="I88" s="679"/>
      <c r="J88" s="680"/>
      <c r="K88" s="680"/>
      <c r="L88" s="671"/>
      <c r="M88" s="672"/>
      <c r="N88" s="672"/>
      <c r="O88" s="673"/>
      <c r="P88" s="672"/>
      <c r="Q88" s="672"/>
      <c r="R88" s="672"/>
      <c r="S88" s="672"/>
      <c r="T88" s="694"/>
      <c r="U88" s="675"/>
      <c r="V88" s="694"/>
      <c r="W88" s="671"/>
      <c r="X88" s="672"/>
      <c r="Y88" s="676"/>
    </row>
    <row r="89" spans="9:25" ht="11.25" customHeight="1">
      <c r="I89" s="671"/>
      <c r="J89" s="672"/>
      <c r="K89" s="672"/>
      <c r="L89" s="679"/>
      <c r="M89" s="680"/>
      <c r="N89" s="680"/>
      <c r="O89" s="681"/>
      <c r="P89" s="680"/>
      <c r="Q89" s="680"/>
      <c r="R89" s="680"/>
      <c r="S89" s="680"/>
      <c r="T89" s="682"/>
      <c r="U89" s="683"/>
      <c r="V89" s="682"/>
      <c r="W89" s="679"/>
      <c r="X89" s="680"/>
      <c r="Y89" s="684"/>
    </row>
    <row r="90" spans="9:25" ht="11.25" customHeight="1">
      <c r="I90" s="679"/>
      <c r="J90" s="680"/>
      <c r="K90" s="680"/>
      <c r="L90" s="671"/>
      <c r="M90" s="672"/>
      <c r="N90" s="672"/>
      <c r="O90" s="673"/>
      <c r="P90" s="672"/>
      <c r="Q90" s="672"/>
      <c r="R90" s="672"/>
      <c r="S90" s="672"/>
      <c r="T90" s="674"/>
      <c r="U90" s="675"/>
      <c r="V90" s="674"/>
      <c r="W90" s="671"/>
      <c r="X90" s="672"/>
      <c r="Y90" s="676"/>
    </row>
    <row r="91" spans="9:25" ht="11.25" customHeight="1">
      <c r="I91" s="671"/>
      <c r="J91" s="672"/>
      <c r="K91" s="672"/>
      <c r="L91" s="679"/>
      <c r="M91" s="680"/>
      <c r="N91" s="680"/>
      <c r="O91" s="681"/>
      <c r="P91" s="680"/>
      <c r="Q91" s="680"/>
      <c r="R91" s="680"/>
      <c r="S91" s="680"/>
      <c r="T91" s="687"/>
      <c r="U91" s="683"/>
      <c r="V91" s="687"/>
      <c r="W91" s="679"/>
      <c r="X91" s="680"/>
      <c r="Y91" s="684"/>
    </row>
    <row r="92" spans="9:25" ht="11.25" customHeight="1">
      <c r="I92" s="679"/>
      <c r="J92" s="680"/>
      <c r="K92" s="680"/>
      <c r="L92" s="671"/>
      <c r="M92" s="672"/>
      <c r="N92" s="685"/>
      <c r="O92" s="673"/>
      <c r="P92" s="672"/>
      <c r="Q92" s="672"/>
      <c r="R92" s="672"/>
      <c r="S92" s="672"/>
      <c r="T92" s="694"/>
      <c r="U92" s="675"/>
      <c r="V92" s="694"/>
      <c r="W92" s="671"/>
      <c r="X92" s="672"/>
      <c r="Y92" s="676"/>
    </row>
    <row r="93" spans="9:25" ht="11.25" customHeight="1">
      <c r="I93" s="671"/>
      <c r="J93" s="672"/>
      <c r="K93" s="685"/>
      <c r="L93" s="679"/>
      <c r="M93" s="680"/>
      <c r="N93" s="695"/>
      <c r="O93" s="681"/>
      <c r="P93" s="680"/>
      <c r="Q93" s="680"/>
      <c r="R93" s="680"/>
      <c r="S93" s="680"/>
      <c r="T93" s="682"/>
      <c r="U93" s="683"/>
      <c r="V93" s="682"/>
      <c r="W93" s="679"/>
      <c r="X93" s="680"/>
      <c r="Y93" s="684"/>
    </row>
    <row r="94" spans="9:25" ht="11.25" customHeight="1">
      <c r="I94" s="679"/>
      <c r="J94" s="680"/>
      <c r="K94" s="695"/>
      <c r="L94" s="671"/>
      <c r="M94" s="672"/>
      <c r="N94" s="672"/>
      <c r="O94" s="673"/>
      <c r="P94" s="672"/>
      <c r="Q94" s="672"/>
      <c r="R94" s="672"/>
      <c r="S94" s="672"/>
      <c r="T94" s="674"/>
      <c r="U94" s="675"/>
      <c r="V94" s="674"/>
      <c r="W94" s="671"/>
      <c r="X94" s="672"/>
      <c r="Y94" s="676"/>
    </row>
    <row r="95" spans="9:25" ht="11.25" customHeight="1">
      <c r="I95" s="671"/>
      <c r="J95" s="672"/>
      <c r="K95" s="672"/>
      <c r="L95" s="671"/>
      <c r="M95" s="672"/>
      <c r="N95" s="672"/>
      <c r="O95" s="673"/>
      <c r="P95" s="672"/>
      <c r="Q95" s="672"/>
      <c r="R95" s="672"/>
      <c r="S95" s="672"/>
      <c r="T95" s="674"/>
      <c r="U95" s="675"/>
      <c r="V95" s="674"/>
      <c r="W95" s="671"/>
      <c r="X95" s="672"/>
      <c r="Y95" s="676"/>
    </row>
    <row r="96" spans="9:25" ht="11.25" customHeight="1">
      <c r="I96" s="671"/>
      <c r="J96" s="672"/>
      <c r="K96" s="672"/>
      <c r="L96" s="671"/>
      <c r="M96" s="672"/>
      <c r="N96" s="672"/>
      <c r="O96" s="673"/>
      <c r="P96" s="672"/>
      <c r="Q96" s="672"/>
      <c r="R96" s="672"/>
      <c r="S96" s="672"/>
      <c r="T96" s="694"/>
      <c r="U96" s="675"/>
      <c r="V96" s="694"/>
      <c r="W96" s="671"/>
      <c r="X96" s="672"/>
      <c r="Y96" s="676"/>
    </row>
    <row r="97" spans="9:25" ht="11.25" customHeight="1">
      <c r="I97" s="671"/>
      <c r="J97" s="672"/>
      <c r="K97" s="672"/>
      <c r="L97" s="679"/>
      <c r="M97" s="680"/>
      <c r="N97" s="680"/>
      <c r="O97" s="681"/>
      <c r="P97" s="680"/>
      <c r="Q97" s="680"/>
      <c r="R97" s="680"/>
      <c r="S97" s="680"/>
      <c r="T97" s="682"/>
      <c r="U97" s="683"/>
      <c r="V97" s="682"/>
      <c r="W97" s="679"/>
      <c r="X97" s="680"/>
      <c r="Y97" s="684"/>
    </row>
    <row r="98" spans="9:25" ht="11.25" customHeight="1">
      <c r="I98" s="679"/>
      <c r="J98" s="680"/>
      <c r="K98" s="680"/>
      <c r="L98" s="671"/>
      <c r="M98" s="672"/>
      <c r="N98" s="672"/>
      <c r="O98" s="673"/>
      <c r="P98" s="672"/>
      <c r="Q98" s="672"/>
      <c r="R98" s="672"/>
      <c r="S98" s="685"/>
      <c r="T98" s="711"/>
      <c r="U98" s="675"/>
      <c r="V98" s="674"/>
      <c r="W98" s="671"/>
      <c r="X98" s="672"/>
      <c r="Y98" s="676"/>
    </row>
    <row r="99" spans="9:25" ht="11.25" customHeight="1">
      <c r="I99" s="671"/>
      <c r="J99" s="672"/>
      <c r="K99" s="672"/>
      <c r="L99" s="671"/>
      <c r="M99" s="672"/>
      <c r="N99" s="672"/>
      <c r="O99" s="673"/>
      <c r="P99" s="672"/>
      <c r="Q99" s="672"/>
      <c r="R99" s="672"/>
      <c r="S99" s="672"/>
      <c r="T99" s="694"/>
      <c r="U99" s="675"/>
      <c r="V99" s="694"/>
      <c r="W99" s="671"/>
      <c r="X99" s="672"/>
      <c r="Y99" s="676"/>
    </row>
    <row r="100" spans="9:25" ht="11.25" customHeight="1">
      <c r="I100" s="671"/>
      <c r="J100" s="672"/>
      <c r="K100" s="672"/>
      <c r="L100" s="671"/>
      <c r="M100" s="672"/>
      <c r="N100" s="672"/>
      <c r="O100" s="673"/>
      <c r="P100" s="672"/>
      <c r="Q100" s="672"/>
      <c r="R100" s="672"/>
      <c r="S100" s="672"/>
      <c r="T100" s="694"/>
      <c r="U100" s="675"/>
      <c r="V100" s="694"/>
      <c r="W100" s="671"/>
      <c r="X100" s="672"/>
      <c r="Y100" s="676"/>
    </row>
    <row r="101" spans="9:25" ht="11.25" customHeight="1">
      <c r="I101" s="671"/>
      <c r="J101" s="672"/>
      <c r="K101" s="672"/>
      <c r="L101"/>
      <c r="M101"/>
      <c r="N101"/>
      <c r="O101"/>
      <c r="P101"/>
      <c r="Q101"/>
      <c r="R101"/>
      <c r="S101"/>
      <c r="T101" s="701"/>
      <c r="U101" s="701"/>
      <c r="V101" s="701"/>
      <c r="W101"/>
      <c r="X101"/>
      <c r="Y101"/>
    </row>
    <row r="102" spans="9:25" ht="11.25" customHeight="1">
      <c r="I102"/>
      <c r="J102"/>
      <c r="K102"/>
      <c r="L102"/>
      <c r="M102"/>
      <c r="N102"/>
      <c r="O102"/>
      <c r="P102"/>
      <c r="Q102"/>
      <c r="R102"/>
      <c r="S102"/>
      <c r="T102" s="701"/>
      <c r="U102" s="701"/>
      <c r="V102" s="701"/>
      <c r="W102"/>
      <c r="X102"/>
      <c r="Y102"/>
    </row>
    <row r="103" spans="9:25" ht="11.25" customHeight="1">
      <c r="I103"/>
      <c r="J103"/>
      <c r="K103"/>
      <c r="L103" s="679"/>
      <c r="M103" s="680"/>
      <c r="N103" s="680"/>
      <c r="O103" s="681"/>
      <c r="P103" s="680"/>
      <c r="Q103" s="680"/>
      <c r="R103" s="680"/>
      <c r="S103" s="680"/>
      <c r="T103" s="682"/>
      <c r="U103" s="683"/>
      <c r="V103" s="682"/>
      <c r="W103" s="679"/>
      <c r="X103" s="680"/>
      <c r="Y103" s="684"/>
    </row>
    <row r="104" spans="9:25" ht="11.25" customHeight="1">
      <c r="I104" s="679"/>
      <c r="J104" s="680"/>
      <c r="K104" s="680"/>
      <c r="L104" s="671"/>
      <c r="M104" s="672"/>
      <c r="N104" s="672"/>
      <c r="O104" s="673"/>
      <c r="P104" s="672"/>
      <c r="Q104" s="672"/>
      <c r="R104" s="672"/>
      <c r="S104" s="672"/>
      <c r="T104" s="674"/>
      <c r="U104" s="675"/>
      <c r="V104" s="674"/>
      <c r="W104" s="671"/>
      <c r="X104" s="672"/>
      <c r="Y104" s="676"/>
    </row>
    <row r="105" spans="9:25" ht="11.25" customHeight="1">
      <c r="I105" s="671"/>
      <c r="J105" s="672"/>
      <c r="K105" s="672"/>
      <c r="L105" s="671"/>
      <c r="M105" s="672"/>
      <c r="N105" s="672"/>
      <c r="O105" s="673"/>
      <c r="P105" s="672"/>
      <c r="Q105" s="672"/>
      <c r="R105" s="672"/>
      <c r="S105" s="672"/>
      <c r="T105" s="694"/>
      <c r="U105" s="675"/>
      <c r="V105" s="694"/>
      <c r="W105" s="671"/>
      <c r="X105" s="672"/>
      <c r="Y105" s="676"/>
    </row>
    <row r="106" spans="9:25" ht="11.25" customHeight="1">
      <c r="I106" s="671"/>
      <c r="J106" s="672"/>
      <c r="K106" s="672"/>
      <c r="L106" s="679"/>
      <c r="M106" s="680"/>
      <c r="N106" s="680"/>
      <c r="O106" s="681"/>
      <c r="P106" s="680"/>
      <c r="Q106" s="680"/>
      <c r="R106" s="680"/>
      <c r="S106" s="680"/>
      <c r="T106" s="687"/>
      <c r="U106" s="683"/>
      <c r="V106" s="687"/>
      <c r="W106" s="679"/>
      <c r="X106" s="680"/>
      <c r="Y106" s="684"/>
    </row>
    <row r="107" spans="9:25" ht="11.25" customHeight="1">
      <c r="I107" s="679"/>
      <c r="J107" s="680"/>
      <c r="K107" s="680"/>
      <c r="L107" s="679"/>
      <c r="M107" s="680"/>
      <c r="N107" s="680"/>
      <c r="O107" s="681"/>
      <c r="P107" s="680"/>
      <c r="Q107" s="680"/>
      <c r="R107" s="680"/>
      <c r="S107" s="680"/>
      <c r="T107" s="682"/>
      <c r="U107" s="683"/>
      <c r="V107" s="682"/>
      <c r="W107" s="679"/>
      <c r="X107" s="680"/>
      <c r="Y107" s="684"/>
    </row>
    <row r="108" spans="9:25" ht="11.25" customHeight="1">
      <c r="I108" s="679"/>
      <c r="J108" s="680"/>
      <c r="K108" s="680"/>
      <c r="L108" s="671"/>
      <c r="M108" s="672"/>
      <c r="N108" s="672"/>
      <c r="O108" s="673"/>
      <c r="P108" s="672"/>
      <c r="Q108" s="672"/>
      <c r="R108" s="672"/>
      <c r="S108" s="672"/>
      <c r="T108" s="694"/>
      <c r="U108" s="675"/>
      <c r="V108" s="694"/>
      <c r="W108" s="671"/>
      <c r="X108" s="672"/>
      <c r="Y108" s="676"/>
    </row>
    <row r="109" spans="9:25" ht="11.25" customHeight="1">
      <c r="I109" s="671"/>
      <c r="J109" s="672"/>
      <c r="K109" s="672"/>
      <c r="L109" s="679"/>
      <c r="M109" s="680"/>
      <c r="N109" s="680"/>
      <c r="O109" s="681"/>
      <c r="P109" s="680"/>
      <c r="Q109" s="680"/>
      <c r="R109" s="680"/>
      <c r="S109" s="680"/>
      <c r="T109" s="682"/>
      <c r="U109" s="683"/>
      <c r="V109" s="682"/>
      <c r="W109" s="679"/>
      <c r="X109" s="680"/>
      <c r="Y109" s="684"/>
    </row>
    <row r="110" spans="9:25" ht="11.25" customHeight="1">
      <c r="I110" s="679"/>
      <c r="J110" s="680"/>
      <c r="K110" s="680"/>
      <c r="L110" s="671"/>
      <c r="M110" s="672"/>
      <c r="N110" s="672"/>
      <c r="O110" s="673"/>
      <c r="P110" s="672"/>
      <c r="Q110" s="672"/>
      <c r="R110" s="672"/>
      <c r="S110" s="672"/>
      <c r="T110" s="694"/>
      <c r="U110" s="675"/>
      <c r="V110" s="694"/>
      <c r="W110" s="671"/>
      <c r="X110" s="672"/>
      <c r="Y110" s="676"/>
    </row>
    <row r="111" spans="9:25" ht="11.25" customHeight="1">
      <c r="I111" s="671"/>
      <c r="J111" s="672"/>
      <c r="K111" s="672"/>
      <c r="L111" s="679"/>
      <c r="M111" s="680"/>
      <c r="N111" s="680"/>
      <c r="O111" s="681"/>
      <c r="P111" s="680"/>
      <c r="Q111" s="680"/>
      <c r="R111" s="680"/>
      <c r="S111" s="680"/>
      <c r="T111" s="682"/>
      <c r="U111" s="683"/>
      <c r="V111" s="682"/>
      <c r="W111" s="679"/>
      <c r="X111" s="680"/>
      <c r="Y111" s="684"/>
    </row>
    <row r="112" spans="9:25" ht="11.25" customHeight="1">
      <c r="I112" s="679"/>
      <c r="J112" s="680"/>
      <c r="K112" s="680"/>
      <c r="L112" s="671"/>
      <c r="M112" s="672"/>
      <c r="N112" s="672"/>
      <c r="O112" s="673"/>
      <c r="P112" s="672"/>
      <c r="Q112" s="672"/>
      <c r="R112" s="672"/>
      <c r="S112" s="672"/>
      <c r="T112" s="674"/>
      <c r="U112" s="675"/>
      <c r="V112" s="674"/>
      <c r="W112" s="671"/>
      <c r="X112" s="672"/>
      <c r="Y112" s="676"/>
    </row>
    <row r="113" spans="9:25" ht="11.25" customHeight="1">
      <c r="I113" s="671"/>
      <c r="J113" s="672"/>
      <c r="K113" s="672"/>
      <c r="L113" s="679"/>
      <c r="M113" s="680"/>
      <c r="N113" s="680"/>
      <c r="O113" s="681"/>
      <c r="P113" s="680"/>
      <c r="Q113" s="680"/>
      <c r="R113" s="680"/>
      <c r="S113" s="680"/>
      <c r="T113" s="682"/>
      <c r="U113" s="683"/>
      <c r="V113" s="682"/>
      <c r="W113" s="679"/>
      <c r="X113" s="680"/>
      <c r="Y113" s="684"/>
    </row>
    <row r="114" spans="9:25" ht="11.25" customHeight="1">
      <c r="I114" s="679"/>
      <c r="J114" s="680"/>
      <c r="K114" s="680"/>
      <c r="L114" s="671"/>
      <c r="M114" s="672"/>
      <c r="N114" s="672"/>
      <c r="O114" s="673"/>
      <c r="P114" s="672"/>
      <c r="Q114" s="672"/>
      <c r="R114" s="672"/>
      <c r="S114" s="672"/>
      <c r="T114" s="694"/>
      <c r="U114" s="675"/>
      <c r="V114" s="694"/>
      <c r="W114" s="671"/>
      <c r="X114" s="672"/>
      <c r="Y114" s="676"/>
    </row>
    <row r="115" spans="9:25" ht="11.25" customHeight="1">
      <c r="I115" s="671"/>
      <c r="J115" s="672"/>
      <c r="K115" s="672"/>
      <c r="L115" s="679"/>
      <c r="M115" s="680"/>
      <c r="N115" s="680"/>
      <c r="O115" s="681"/>
      <c r="P115" s="680"/>
      <c r="Q115" s="680"/>
      <c r="R115" s="680"/>
      <c r="S115" s="680"/>
      <c r="T115" s="687"/>
      <c r="U115" s="683"/>
      <c r="V115" s="687"/>
      <c r="W115" s="679"/>
      <c r="X115" s="680"/>
      <c r="Y115" s="684"/>
    </row>
    <row r="116" spans="9:25" ht="11.25" customHeight="1">
      <c r="I116" s="679"/>
      <c r="J116" s="680"/>
      <c r="K116" s="680"/>
      <c r="L116" s="671"/>
      <c r="M116" s="672"/>
      <c r="N116" s="672"/>
      <c r="O116" s="673"/>
      <c r="P116" s="672"/>
      <c r="Q116" s="672"/>
      <c r="R116" s="672"/>
      <c r="S116" s="672"/>
      <c r="T116" s="674"/>
      <c r="U116" s="675"/>
      <c r="V116" s="674"/>
      <c r="W116" s="671"/>
      <c r="X116" s="672"/>
      <c r="Y116" s="676"/>
    </row>
    <row r="117" spans="9:25" ht="11.25" customHeight="1">
      <c r="I117" s="671"/>
      <c r="J117" s="672"/>
      <c r="K117" s="672"/>
      <c r="L117" s="679"/>
      <c r="M117" s="680"/>
      <c r="N117" s="680"/>
      <c r="O117" s="681"/>
      <c r="P117" s="680"/>
      <c r="Q117" s="680"/>
      <c r="R117" s="680"/>
      <c r="S117" s="680"/>
      <c r="T117" s="687"/>
      <c r="U117" s="683"/>
      <c r="V117" s="687"/>
      <c r="W117" s="679"/>
      <c r="X117" s="680"/>
      <c r="Y117" s="684"/>
    </row>
    <row r="118" spans="9:25" ht="11.25" customHeight="1">
      <c r="I118" s="679"/>
      <c r="J118" s="680"/>
      <c r="K118" s="680"/>
      <c r="L118" s="671"/>
      <c r="M118" s="672"/>
      <c r="N118" s="672"/>
      <c r="O118" s="673"/>
      <c r="P118" s="672"/>
      <c r="Q118" s="672"/>
      <c r="R118" s="672"/>
      <c r="S118" s="672"/>
      <c r="T118" s="694"/>
      <c r="U118" s="675"/>
      <c r="V118" s="694"/>
      <c r="W118" s="671"/>
      <c r="X118" s="672"/>
      <c r="Y118" s="676"/>
    </row>
    <row r="119" spans="9:25" ht="11.25" customHeight="1">
      <c r="I119" s="671"/>
      <c r="J119" s="672"/>
      <c r="K119" s="672"/>
      <c r="L119" s="679"/>
      <c r="M119" s="680"/>
      <c r="N119" s="680"/>
      <c r="O119" s="681"/>
      <c r="P119" s="680"/>
      <c r="Q119" s="680"/>
      <c r="R119" s="680"/>
      <c r="S119" s="680"/>
      <c r="T119" s="687"/>
      <c r="U119" s="683"/>
      <c r="V119" s="687"/>
      <c r="W119" s="679"/>
      <c r="X119" s="680"/>
      <c r="Y119" s="684"/>
    </row>
    <row r="120" spans="9:25" ht="11.25" customHeight="1">
      <c r="I120" s="679"/>
      <c r="J120" s="680"/>
      <c r="K120" s="680"/>
      <c r="L120" s="671"/>
      <c r="M120" s="672"/>
      <c r="N120" s="672"/>
      <c r="O120" s="673"/>
      <c r="P120" s="672"/>
      <c r="Q120" s="672"/>
      <c r="R120" s="672"/>
      <c r="S120" s="672"/>
      <c r="T120" s="694"/>
      <c r="U120" s="675"/>
      <c r="V120" s="694"/>
      <c r="W120" s="671"/>
      <c r="X120" s="672"/>
      <c r="Y120" s="676"/>
    </row>
    <row r="121" spans="9:25" ht="11.25" customHeight="1">
      <c r="I121" s="671"/>
      <c r="J121" s="672"/>
      <c r="K121" s="672"/>
      <c r="L121" s="679"/>
      <c r="M121" s="680"/>
      <c r="N121" s="680"/>
      <c r="O121" s="681"/>
      <c r="P121" s="680"/>
      <c r="Q121" s="680"/>
      <c r="R121" s="680"/>
      <c r="S121" s="680"/>
      <c r="T121" s="687"/>
      <c r="U121" s="683"/>
      <c r="V121" s="687"/>
      <c r="W121" s="679"/>
      <c r="X121" s="680"/>
      <c r="Y121" s="684"/>
    </row>
    <row r="122" spans="9:25" ht="11.25" customHeight="1">
      <c r="I122" s="679"/>
      <c r="J122" s="680"/>
      <c r="K122" s="680"/>
      <c r="L122" s="671"/>
      <c r="M122" s="672"/>
      <c r="N122" s="672"/>
      <c r="O122" s="673"/>
      <c r="P122" s="672"/>
      <c r="Q122" s="672"/>
      <c r="R122" s="672"/>
      <c r="S122" s="672"/>
      <c r="T122" s="674"/>
      <c r="U122" s="675"/>
      <c r="V122" s="674"/>
      <c r="W122" s="671"/>
      <c r="X122" s="672"/>
      <c r="Y122" s="676"/>
    </row>
    <row r="123" spans="9:25" ht="11.25" customHeight="1">
      <c r="I123" s="671"/>
      <c r="J123" s="672"/>
      <c r="K123" s="672"/>
      <c r="L123" s="679"/>
      <c r="M123" s="680"/>
      <c r="N123" s="680"/>
      <c r="O123" s="681"/>
      <c r="P123" s="680"/>
      <c r="Q123" s="680"/>
      <c r="R123" s="680"/>
      <c r="S123" s="680"/>
      <c r="T123" s="682"/>
      <c r="U123" s="683"/>
      <c r="V123" s="682"/>
      <c r="W123" s="679"/>
      <c r="X123" s="680"/>
      <c r="Y123" s="684"/>
    </row>
    <row r="124" spans="9:25" ht="11.25" customHeight="1">
      <c r="I124" s="679"/>
      <c r="J124" s="680"/>
      <c r="K124" s="680"/>
      <c r="L124" s="671"/>
      <c r="M124" s="672"/>
      <c r="N124" s="672"/>
      <c r="O124" s="673"/>
      <c r="P124" s="672"/>
      <c r="Q124" s="672"/>
      <c r="R124" s="672"/>
      <c r="S124" s="672"/>
      <c r="T124" s="694"/>
      <c r="U124" s="675"/>
      <c r="V124" s="694"/>
      <c r="W124" s="671"/>
      <c r="X124" s="672"/>
      <c r="Y124" s="676"/>
    </row>
    <row r="125" spans="9:25" ht="11.25" customHeight="1">
      <c r="I125" s="671"/>
      <c r="J125" s="672"/>
      <c r="K125" s="672"/>
      <c r="L125" s="679"/>
      <c r="M125" s="680"/>
      <c r="N125" s="680"/>
      <c r="O125" s="681"/>
      <c r="P125" s="680"/>
      <c r="Q125" s="680"/>
      <c r="R125" s="680"/>
      <c r="S125" s="680"/>
      <c r="T125" s="687"/>
      <c r="U125" s="683"/>
      <c r="V125" s="687"/>
      <c r="W125" s="679"/>
      <c r="X125" s="680"/>
      <c r="Y125" s="684"/>
    </row>
    <row r="126" spans="9:25" ht="11.25" customHeight="1">
      <c r="I126" s="679"/>
      <c r="J126" s="680"/>
      <c r="K126" s="680"/>
      <c r="L126" s="671"/>
      <c r="M126" s="672"/>
      <c r="N126" s="672"/>
      <c r="O126" s="673"/>
      <c r="P126" s="672"/>
      <c r="Q126" s="672"/>
      <c r="R126" s="672"/>
      <c r="S126" s="672"/>
      <c r="T126" s="694"/>
      <c r="U126" s="675"/>
      <c r="V126" s="694"/>
      <c r="W126" s="671"/>
      <c r="X126" s="672"/>
      <c r="Y126" s="676"/>
    </row>
    <row r="127" spans="9:25" ht="11.25" customHeight="1">
      <c r="I127" s="671"/>
      <c r="J127" s="672"/>
      <c r="K127" s="672"/>
      <c r="L127" s="679"/>
      <c r="M127" s="680"/>
      <c r="N127" s="680"/>
      <c r="O127" s="681"/>
      <c r="P127" s="680"/>
      <c r="Q127" s="680"/>
      <c r="R127" s="680"/>
      <c r="S127" s="680"/>
      <c r="T127" s="687"/>
      <c r="U127" s="683"/>
      <c r="V127" s="687"/>
      <c r="W127" s="679"/>
      <c r="X127" s="680"/>
      <c r="Y127" s="684"/>
    </row>
    <row r="128" spans="9:25" ht="11.25" customHeight="1">
      <c r="I128" s="679"/>
      <c r="J128" s="680"/>
      <c r="K128" s="680"/>
      <c r="L128" s="671"/>
      <c r="M128" s="672"/>
      <c r="N128" s="672"/>
      <c r="O128" s="673"/>
      <c r="P128" s="672"/>
      <c r="Q128" s="672"/>
      <c r="R128" s="672"/>
      <c r="S128" s="672"/>
      <c r="T128" s="674"/>
      <c r="U128" s="675"/>
      <c r="V128" s="674"/>
      <c r="W128" s="671"/>
      <c r="X128" s="672"/>
      <c r="Y128" s="676"/>
    </row>
    <row r="129" spans="9:25" ht="11.25" customHeight="1">
      <c r="I129" s="671"/>
      <c r="J129" s="672"/>
      <c r="K129" s="672"/>
      <c r="L129"/>
      <c r="M129"/>
      <c r="N129"/>
      <c r="O129"/>
      <c r="P129"/>
      <c r="Q129"/>
      <c r="R129"/>
      <c r="S129"/>
      <c r="T129" s="701"/>
      <c r="U129" s="701"/>
      <c r="V129" s="701"/>
      <c r="W129"/>
      <c r="X129"/>
      <c r="Y129"/>
    </row>
    <row r="130" spans="9:25" ht="11.25" customHeight="1">
      <c r="I130"/>
      <c r="J130"/>
      <c r="K130"/>
      <c r="L130"/>
      <c r="M130"/>
      <c r="N130"/>
      <c r="O130"/>
      <c r="P130"/>
      <c r="Q130"/>
      <c r="R130"/>
      <c r="S130"/>
      <c r="T130" s="701"/>
      <c r="U130" s="701"/>
      <c r="V130" s="701"/>
      <c r="W130"/>
      <c r="X130"/>
      <c r="Y130"/>
    </row>
    <row r="131" spans="9:25" ht="11.25" customHeight="1">
      <c r="I131"/>
      <c r="J131"/>
      <c r="K131"/>
      <c r="L131" s="679"/>
      <c r="M131" s="680"/>
      <c r="N131" s="680"/>
      <c r="O131" s="681"/>
      <c r="P131" s="680"/>
      <c r="Q131" s="680"/>
      <c r="R131" s="680"/>
      <c r="S131" s="680"/>
      <c r="T131" s="687"/>
      <c r="U131" s="683"/>
      <c r="V131" s="687"/>
      <c r="W131" s="679"/>
      <c r="X131" s="680"/>
      <c r="Y131" s="684"/>
    </row>
    <row r="132" spans="9:25" ht="11.25" customHeight="1">
      <c r="I132" s="679"/>
      <c r="J132" s="680"/>
      <c r="K132" s="680"/>
      <c r="L132" s="671"/>
      <c r="M132" s="672"/>
      <c r="N132" s="672"/>
      <c r="O132" s="673"/>
      <c r="P132" s="672"/>
      <c r="Q132" s="672"/>
      <c r="R132" s="672"/>
      <c r="S132" s="672"/>
      <c r="T132" s="674"/>
      <c r="U132" s="675"/>
      <c r="V132" s="674"/>
      <c r="W132" s="671"/>
      <c r="X132" s="672"/>
      <c r="Y132" s="676"/>
    </row>
    <row r="133" spans="9:25" ht="11.25" customHeight="1">
      <c r="I133" s="671"/>
      <c r="J133" s="672"/>
      <c r="K133" s="672"/>
      <c r="L133" s="679"/>
      <c r="M133" s="680"/>
      <c r="N133" s="680"/>
      <c r="O133" s="681"/>
      <c r="P133" s="680"/>
      <c r="Q133" s="680"/>
      <c r="R133" s="680"/>
      <c r="S133" s="680"/>
      <c r="T133" s="687"/>
      <c r="U133" s="683"/>
      <c r="V133" s="687"/>
      <c r="W133" s="679"/>
      <c r="X133" s="680"/>
      <c r="Y133" s="684"/>
    </row>
    <row r="134" spans="9:25" ht="11.25" customHeight="1">
      <c r="I134" s="679"/>
      <c r="J134" s="680"/>
      <c r="K134" s="680"/>
      <c r="L134" s="679"/>
      <c r="M134" s="680"/>
      <c r="N134" s="680"/>
      <c r="O134" s="681"/>
      <c r="P134" s="680"/>
      <c r="Q134" s="680"/>
      <c r="R134" s="680"/>
      <c r="S134" s="680"/>
      <c r="T134" s="687"/>
      <c r="U134" s="683"/>
      <c r="V134" s="687"/>
      <c r="W134" s="679"/>
      <c r="X134" s="680"/>
      <c r="Y134" s="684"/>
    </row>
    <row r="135" spans="9:25" ht="11.25" customHeight="1">
      <c r="I135" s="679"/>
      <c r="J135" s="680"/>
      <c r="K135" s="680"/>
      <c r="L135" s="671"/>
      <c r="M135" s="672"/>
      <c r="N135" s="672"/>
      <c r="O135" s="673"/>
      <c r="P135" s="672"/>
      <c r="Q135" s="672"/>
      <c r="R135" s="672"/>
      <c r="S135" s="672"/>
      <c r="T135" s="674"/>
      <c r="U135" s="675"/>
      <c r="V135" s="674"/>
      <c r="W135" s="671"/>
      <c r="X135" s="672"/>
      <c r="Y135" s="676"/>
    </row>
    <row r="136" spans="9:25" ht="11.25" customHeight="1">
      <c r="I136" s="671"/>
      <c r="J136" s="672"/>
      <c r="K136" s="672"/>
      <c r="L136" s="679"/>
      <c r="M136" s="680"/>
      <c r="N136" s="680"/>
      <c r="O136" s="681"/>
      <c r="P136" s="680"/>
      <c r="Q136" s="680"/>
      <c r="R136" s="680"/>
      <c r="S136" s="680"/>
      <c r="T136" s="682"/>
      <c r="U136" s="683"/>
      <c r="V136" s="682"/>
      <c r="W136" s="679"/>
      <c r="X136" s="680"/>
      <c r="Y136" s="684"/>
    </row>
    <row r="137" spans="9:25" ht="11.25" customHeight="1">
      <c r="I137" s="679"/>
      <c r="J137" s="680"/>
      <c r="K137" s="680"/>
      <c r="L137" s="671"/>
      <c r="M137" s="672"/>
      <c r="N137" s="672"/>
      <c r="O137" s="673"/>
      <c r="P137" s="672"/>
      <c r="Q137" s="672"/>
      <c r="R137" s="672"/>
      <c r="S137" s="672"/>
      <c r="T137" s="694"/>
      <c r="U137" s="675"/>
      <c r="V137" s="694"/>
      <c r="W137" s="671"/>
      <c r="X137" s="672"/>
      <c r="Y137" s="676"/>
    </row>
    <row r="138" spans="9:25" ht="11.25" customHeight="1">
      <c r="I138" s="671"/>
      <c r="J138" s="672"/>
      <c r="K138" s="672"/>
      <c r="L138" s="679"/>
      <c r="M138" s="680"/>
      <c r="N138" s="680"/>
      <c r="O138" s="681"/>
      <c r="P138" s="680"/>
      <c r="Q138" s="680"/>
      <c r="R138" s="680"/>
      <c r="S138" s="680"/>
      <c r="T138" s="687"/>
      <c r="U138" s="683"/>
      <c r="V138" s="687"/>
      <c r="W138" s="679"/>
      <c r="X138" s="680"/>
      <c r="Y138" s="684"/>
    </row>
    <row r="139" spans="9:25" ht="11.25" customHeight="1">
      <c r="I139" s="679"/>
      <c r="J139" s="680"/>
      <c r="K139" s="680"/>
      <c r="L139" s="671"/>
      <c r="M139" s="672"/>
      <c r="N139" s="672"/>
      <c r="O139" s="673"/>
      <c r="P139" s="672"/>
      <c r="Q139" s="672"/>
      <c r="R139" s="672"/>
      <c r="S139" s="672"/>
      <c r="T139" s="694"/>
      <c r="U139" s="675"/>
      <c r="V139" s="694"/>
      <c r="W139" s="671"/>
      <c r="X139" s="672"/>
      <c r="Y139" s="676"/>
    </row>
    <row r="140" spans="9:25" ht="11.25" customHeight="1">
      <c r="I140" s="671"/>
      <c r="J140" s="672"/>
      <c r="K140" s="672"/>
      <c r="L140" s="679"/>
      <c r="M140" s="680"/>
      <c r="N140" s="680"/>
      <c r="O140" s="681"/>
      <c r="P140" s="680"/>
      <c r="Q140" s="680"/>
      <c r="R140" s="680"/>
      <c r="S140" s="680"/>
      <c r="T140" s="682"/>
      <c r="U140" s="683"/>
      <c r="V140" s="682"/>
      <c r="W140" s="679"/>
      <c r="X140" s="680"/>
      <c r="Y140" s="684"/>
    </row>
    <row r="141" spans="9:25" ht="11.25" customHeight="1">
      <c r="I141" s="679"/>
      <c r="J141" s="680"/>
      <c r="K141" s="680"/>
      <c r="L141" s="671"/>
      <c r="M141" s="672"/>
      <c r="N141" s="672"/>
      <c r="O141" s="673"/>
      <c r="P141" s="672"/>
      <c r="Q141" s="672"/>
      <c r="R141" s="672"/>
      <c r="S141" s="672"/>
      <c r="T141" s="674"/>
      <c r="U141" s="675"/>
      <c r="V141" s="674"/>
      <c r="W141" s="671"/>
      <c r="X141" s="672"/>
      <c r="Y141" s="676"/>
    </row>
    <row r="142" spans="9:25" ht="11.25" customHeight="1">
      <c r="I142" s="671"/>
      <c r="J142" s="672"/>
      <c r="K142" s="672"/>
      <c r="L142" s="679"/>
      <c r="M142" s="680"/>
      <c r="N142" s="680"/>
      <c r="O142" s="681"/>
      <c r="P142" s="680"/>
      <c r="Q142" s="680"/>
      <c r="R142" s="680"/>
      <c r="S142" s="680"/>
      <c r="T142" s="687"/>
      <c r="U142" s="683"/>
      <c r="V142" s="687"/>
      <c r="W142" s="679"/>
      <c r="X142" s="680"/>
      <c r="Y142" s="684"/>
    </row>
    <row r="143" spans="9:25" ht="11.25" customHeight="1">
      <c r="I143" s="679"/>
      <c r="J143" s="680"/>
      <c r="K143" s="680"/>
      <c r="L143" s="679"/>
      <c r="M143" s="680"/>
      <c r="N143" s="680"/>
      <c r="O143" s="681"/>
      <c r="P143" s="680"/>
      <c r="Q143" s="680"/>
      <c r="R143" s="680"/>
      <c r="S143" s="680"/>
      <c r="T143" s="682"/>
      <c r="U143" s="683"/>
      <c r="V143" s="682"/>
      <c r="W143" s="679"/>
      <c r="X143" s="680"/>
      <c r="Y143" s="684"/>
    </row>
    <row r="144" spans="9:25" ht="11.25" customHeight="1">
      <c r="I144" s="679"/>
      <c r="J144" s="680"/>
      <c r="K144" s="680"/>
      <c r="L144" s="671"/>
      <c r="M144" s="672"/>
      <c r="N144" s="672"/>
      <c r="O144" s="673"/>
      <c r="P144" s="672"/>
      <c r="Q144" s="672"/>
      <c r="R144" s="672"/>
      <c r="S144" s="672"/>
      <c r="T144" s="694"/>
      <c r="U144" s="675"/>
      <c r="V144" s="694"/>
      <c r="W144" s="671"/>
      <c r="X144" s="672"/>
      <c r="Y144" s="676"/>
    </row>
    <row r="145" spans="9:25" ht="11.25" customHeight="1">
      <c r="I145" s="671"/>
      <c r="J145" s="672"/>
      <c r="K145" s="672"/>
      <c r="L145" s="671"/>
      <c r="M145" s="672"/>
      <c r="N145" s="672"/>
      <c r="O145" s="673"/>
      <c r="P145" s="672"/>
      <c r="Q145" s="672"/>
      <c r="R145" s="672"/>
      <c r="S145" s="672"/>
      <c r="T145" s="674"/>
      <c r="U145" s="675"/>
      <c r="V145" s="674"/>
      <c r="W145" s="671"/>
      <c r="X145" s="672"/>
      <c r="Y145" s="676"/>
    </row>
    <row r="146" spans="9:25" ht="11.25" customHeight="1">
      <c r="I146" s="671"/>
      <c r="J146" s="672"/>
      <c r="K146" s="672"/>
      <c r="L146" s="671"/>
      <c r="M146" s="672"/>
      <c r="N146" s="672"/>
      <c r="O146" s="673"/>
      <c r="P146" s="672"/>
      <c r="Q146" s="672"/>
      <c r="R146" s="672"/>
      <c r="S146" s="672"/>
      <c r="T146" s="694"/>
      <c r="U146" s="675"/>
      <c r="V146" s="694"/>
      <c r="W146" s="671"/>
      <c r="X146" s="672"/>
      <c r="Y146" s="676"/>
    </row>
    <row r="147" spans="9:25" ht="11.25" customHeight="1">
      <c r="I147" s="671"/>
      <c r="J147" s="672"/>
      <c r="K147" s="672"/>
      <c r="L147" s="671"/>
      <c r="M147" s="672"/>
      <c r="N147" s="672"/>
      <c r="O147" s="673"/>
      <c r="P147" s="672"/>
      <c r="Q147" s="672"/>
      <c r="R147" s="672"/>
      <c r="S147" s="672"/>
      <c r="T147" s="694"/>
      <c r="U147" s="675"/>
      <c r="V147" s="694"/>
      <c r="W147" s="671"/>
      <c r="X147" s="672"/>
      <c r="Y147" s="676"/>
    </row>
    <row r="148" spans="9:25" ht="11.25" customHeight="1">
      <c r="I148" s="671"/>
      <c r="J148" s="672"/>
      <c r="K148" s="672"/>
      <c r="L148" s="679"/>
      <c r="M148" s="680"/>
      <c r="N148" s="680"/>
      <c r="O148" s="681"/>
      <c r="P148" s="680"/>
      <c r="Q148" s="680"/>
      <c r="R148" s="680"/>
      <c r="S148" s="680"/>
      <c r="T148" s="682"/>
      <c r="U148" s="683"/>
      <c r="V148" s="682"/>
      <c r="W148" s="679"/>
      <c r="X148" s="680"/>
      <c r="Y148" s="684"/>
    </row>
    <row r="149" spans="9:25" ht="11.25" customHeight="1">
      <c r="I149" s="679"/>
      <c r="J149" s="680"/>
      <c r="K149" s="680"/>
      <c r="L149" s="671"/>
      <c r="M149" s="672"/>
      <c r="N149" s="672"/>
      <c r="O149" s="673"/>
      <c r="P149" s="672"/>
      <c r="Q149" s="672"/>
      <c r="R149" s="672"/>
      <c r="S149" s="672"/>
      <c r="T149" s="694"/>
      <c r="U149" s="675"/>
      <c r="V149" s="694"/>
      <c r="W149" s="671"/>
      <c r="X149" s="672"/>
      <c r="Y149" s="676"/>
    </row>
    <row r="150" spans="9:25" ht="11.25" customHeight="1">
      <c r="I150" s="671"/>
      <c r="J150" s="672"/>
      <c r="K150" s="672"/>
      <c r="L150" s="679"/>
      <c r="M150" s="680"/>
      <c r="N150" s="680"/>
      <c r="O150" s="681"/>
      <c r="P150" s="680"/>
      <c r="Q150" s="680"/>
      <c r="R150" s="680"/>
      <c r="S150" s="680"/>
      <c r="T150" s="682"/>
      <c r="U150" s="683"/>
      <c r="V150" s="682"/>
      <c r="W150" s="679"/>
      <c r="X150" s="680"/>
      <c r="Y150" s="684"/>
    </row>
    <row r="151" spans="9:25" ht="11.25" customHeight="1">
      <c r="I151" s="679"/>
      <c r="J151" s="680"/>
      <c r="K151" s="680"/>
      <c r="L151" s="671"/>
      <c r="M151" s="672"/>
      <c r="N151" s="672"/>
      <c r="O151" s="673"/>
      <c r="P151" s="672"/>
      <c r="Q151" s="672"/>
      <c r="R151" s="672"/>
      <c r="S151" s="672"/>
      <c r="T151" s="674"/>
      <c r="U151" s="675"/>
      <c r="V151" s="674"/>
      <c r="W151" s="671"/>
      <c r="X151" s="672"/>
      <c r="Y151" s="676"/>
    </row>
    <row r="152" spans="9:25" ht="11.25" customHeight="1">
      <c r="I152" s="671"/>
      <c r="J152" s="672"/>
      <c r="K152" s="672"/>
      <c r="L152" s="679"/>
      <c r="M152" s="680"/>
      <c r="N152" s="680"/>
      <c r="O152" s="681"/>
      <c r="P152" s="680"/>
      <c r="Q152" s="680"/>
      <c r="R152" s="680"/>
      <c r="S152" s="680"/>
      <c r="T152" s="687"/>
      <c r="U152" s="683"/>
      <c r="V152" s="687"/>
      <c r="W152" s="679"/>
      <c r="X152" s="680"/>
      <c r="Y152" s="684"/>
    </row>
    <row r="153" spans="9:25" ht="11.25" customHeight="1">
      <c r="I153" s="679"/>
      <c r="J153" s="680"/>
      <c r="K153" s="680"/>
      <c r="L153" s="671"/>
      <c r="M153" s="672"/>
      <c r="N153" s="672"/>
      <c r="O153" s="673"/>
      <c r="P153" s="672"/>
      <c r="Q153" s="672"/>
      <c r="R153" s="672"/>
      <c r="S153" s="672"/>
      <c r="T153" s="674"/>
      <c r="U153" s="675"/>
      <c r="V153" s="674"/>
      <c r="W153" s="671"/>
      <c r="X153" s="672"/>
      <c r="Y153" s="676"/>
    </row>
    <row r="154" spans="9:25" ht="11.25" customHeight="1">
      <c r="I154" s="671"/>
      <c r="J154" s="672"/>
      <c r="K154" s="672"/>
      <c r="L154" s="679"/>
      <c r="M154" s="680"/>
      <c r="N154" s="680"/>
      <c r="O154" s="681"/>
      <c r="P154" s="680"/>
      <c r="Q154" s="680"/>
      <c r="R154" s="680"/>
      <c r="S154" s="680"/>
      <c r="T154" s="682"/>
      <c r="U154" s="683"/>
      <c r="V154" s="682"/>
      <c r="W154" s="679"/>
      <c r="X154" s="680"/>
      <c r="Y154" s="684"/>
    </row>
    <row r="155" spans="9:25" ht="11.25" customHeight="1">
      <c r="I155" s="679"/>
      <c r="J155" s="680"/>
      <c r="K155" s="680"/>
      <c r="L155" s="671"/>
      <c r="M155" s="672"/>
      <c r="N155" s="672"/>
      <c r="O155" s="673"/>
      <c r="P155" s="672"/>
      <c r="Q155" s="672"/>
      <c r="R155" s="672"/>
      <c r="S155" s="672"/>
      <c r="T155" s="674"/>
      <c r="U155" s="675"/>
      <c r="V155" s="674"/>
      <c r="W155" s="671"/>
      <c r="X155" s="672"/>
      <c r="Y155" s="676"/>
    </row>
    <row r="156" spans="9:25" ht="11.25" customHeight="1">
      <c r="I156" s="671"/>
      <c r="J156" s="672"/>
      <c r="K156" s="672"/>
      <c r="L156" s="671"/>
      <c r="M156" s="672"/>
      <c r="N156" s="672"/>
      <c r="O156" s="673"/>
      <c r="P156" s="672"/>
      <c r="Q156" s="672"/>
      <c r="R156" s="672"/>
      <c r="S156" s="672"/>
      <c r="T156" s="694"/>
      <c r="U156" s="675"/>
      <c r="V156" s="694"/>
      <c r="W156" s="671"/>
      <c r="X156" s="672"/>
      <c r="Y156" s="676"/>
    </row>
    <row r="157" spans="9:25" ht="11.25" customHeight="1">
      <c r="I157" s="671"/>
      <c r="J157" s="672"/>
      <c r="K157" s="672"/>
      <c r="L157" s="679"/>
      <c r="M157" s="680"/>
      <c r="N157" s="680"/>
      <c r="O157" s="681"/>
      <c r="P157" s="680"/>
      <c r="Q157" s="680"/>
      <c r="R157" s="680"/>
      <c r="S157" s="680"/>
      <c r="T157" s="687"/>
      <c r="U157" s="683"/>
      <c r="V157" s="687"/>
      <c r="W157" s="679"/>
      <c r="X157" s="680"/>
      <c r="Y157" s="684"/>
    </row>
    <row r="158" spans="9:25" ht="11.25" customHeight="1">
      <c r="I158" s="679"/>
      <c r="J158" s="680"/>
      <c r="K158" s="680"/>
      <c r="L158" s="671"/>
      <c r="M158" s="672"/>
      <c r="N158" s="672"/>
      <c r="O158" s="673"/>
      <c r="P158" s="672"/>
      <c r="Q158" s="672"/>
      <c r="R158" s="672"/>
      <c r="S158" s="672"/>
      <c r="T158" s="674"/>
      <c r="U158" s="675"/>
      <c r="V158" s="674"/>
      <c r="W158" s="671"/>
      <c r="X158" s="672"/>
      <c r="Y158" s="676"/>
    </row>
    <row r="159" spans="9:25" ht="11.25" customHeight="1">
      <c r="I159" s="671"/>
      <c r="J159" s="672"/>
      <c r="K159" s="672"/>
      <c r="L159" s="679"/>
      <c r="M159" s="680"/>
      <c r="N159" s="680"/>
      <c r="O159" s="681"/>
      <c r="P159" s="680"/>
      <c r="Q159" s="680"/>
      <c r="R159" s="680"/>
      <c r="S159" s="680"/>
      <c r="T159" s="687"/>
      <c r="U159" s="683"/>
      <c r="V159" s="687"/>
      <c r="W159" s="679"/>
      <c r="X159" s="680"/>
      <c r="Y159" s="684"/>
    </row>
    <row r="160" spans="9:25" ht="11.25" customHeight="1">
      <c r="I160" s="679"/>
      <c r="J160" s="680"/>
      <c r="K160" s="680"/>
      <c r="L160" s="671"/>
      <c r="M160" s="672"/>
      <c r="N160" s="672"/>
      <c r="O160" s="673"/>
      <c r="P160" s="672"/>
      <c r="Q160" s="672"/>
      <c r="R160" s="672"/>
      <c r="S160" s="672"/>
      <c r="T160" s="694"/>
      <c r="U160" s="675"/>
      <c r="V160" s="694"/>
      <c r="W160" s="671"/>
      <c r="X160" s="672"/>
      <c r="Y160" s="676"/>
    </row>
    <row r="161" spans="9:25" ht="11.25" customHeight="1">
      <c r="I161" s="671"/>
      <c r="J161" s="672"/>
      <c r="K161" s="672"/>
      <c r="L161" s="679"/>
      <c r="M161" s="680"/>
      <c r="N161" s="680"/>
      <c r="O161" s="681"/>
      <c r="P161" s="680"/>
      <c r="Q161" s="680"/>
      <c r="R161" s="680"/>
      <c r="S161" s="680"/>
      <c r="T161" s="687"/>
      <c r="U161" s="683"/>
      <c r="V161" s="687"/>
      <c r="W161" s="679"/>
      <c r="X161" s="680"/>
      <c r="Y161" s="684"/>
    </row>
    <row r="162" spans="9:25" ht="11.25" customHeight="1">
      <c r="I162" s="679"/>
      <c r="J162" s="680"/>
      <c r="K162" s="680"/>
      <c r="L162" s="671"/>
      <c r="M162" s="672"/>
      <c r="N162" s="672"/>
      <c r="O162" s="673"/>
      <c r="P162" s="672"/>
      <c r="Q162" s="672"/>
      <c r="R162" s="672"/>
      <c r="S162" s="672"/>
      <c r="T162" s="694"/>
      <c r="U162" s="675"/>
      <c r="V162" s="694"/>
      <c r="W162" s="671"/>
      <c r="X162" s="672"/>
      <c r="Y162" s="676"/>
    </row>
    <row r="163" spans="9:25" ht="11.25" customHeight="1">
      <c r="I163" s="671"/>
      <c r="J163" s="672"/>
      <c r="K163" s="672"/>
      <c r="L163" s="671"/>
      <c r="M163" s="672"/>
      <c r="N163" s="672"/>
      <c r="O163" s="673"/>
      <c r="P163" s="672"/>
      <c r="Q163" s="672"/>
      <c r="R163" s="672"/>
      <c r="S163" s="672"/>
      <c r="T163" s="694"/>
      <c r="U163" s="675"/>
      <c r="V163" s="694"/>
      <c r="W163" s="671"/>
      <c r="X163" s="672"/>
      <c r="Y163" s="676"/>
    </row>
    <row r="164" spans="9:25" ht="11.25" customHeight="1">
      <c r="I164" s="671"/>
      <c r="J164" s="672"/>
      <c r="K164" s="672"/>
      <c r="L164" s="679"/>
      <c r="M164" s="680"/>
      <c r="N164" s="680"/>
      <c r="O164" s="681"/>
      <c r="P164" s="680"/>
      <c r="Q164" s="680"/>
      <c r="R164" s="680"/>
      <c r="S164" s="680"/>
      <c r="T164" s="682"/>
      <c r="U164" s="683"/>
      <c r="V164" s="682"/>
      <c r="W164" s="679"/>
      <c r="X164" s="680"/>
      <c r="Y164" s="684"/>
    </row>
    <row r="165" spans="9:25" ht="11.25" customHeight="1">
      <c r="I165" s="679"/>
      <c r="J165" s="680"/>
      <c r="K165" s="680"/>
      <c r="L165" s="671"/>
      <c r="M165" s="672"/>
      <c r="N165" s="672"/>
      <c r="O165" s="673"/>
      <c r="P165" s="672"/>
      <c r="Q165" s="672"/>
      <c r="R165" s="672"/>
      <c r="S165" s="672"/>
      <c r="T165" s="674"/>
      <c r="U165" s="675"/>
      <c r="V165" s="674"/>
      <c r="W165" s="671"/>
      <c r="X165" s="672"/>
      <c r="Y165" s="676"/>
    </row>
    <row r="166" spans="9:25" ht="11.25" customHeight="1">
      <c r="I166" s="671"/>
      <c r="J166" s="672"/>
      <c r="K166" s="672"/>
      <c r="L166" s="671"/>
      <c r="M166" s="672"/>
      <c r="N166" s="672"/>
      <c r="O166" s="673"/>
      <c r="P166" s="672"/>
      <c r="Q166" s="672"/>
      <c r="R166" s="672"/>
      <c r="S166" s="672"/>
      <c r="T166" s="694"/>
      <c r="U166" s="675"/>
      <c r="V166" s="694"/>
      <c r="W166" s="671"/>
      <c r="X166" s="672"/>
      <c r="Y166" s="676"/>
    </row>
    <row r="167" spans="9:25" ht="11.25" customHeight="1">
      <c r="I167" s="671"/>
      <c r="J167" s="672"/>
      <c r="K167" s="672"/>
      <c r="L167" s="679"/>
      <c r="M167" s="680"/>
      <c r="N167" s="680"/>
      <c r="O167" s="681"/>
      <c r="P167" s="680"/>
      <c r="Q167" s="680"/>
      <c r="R167" s="680"/>
      <c r="S167" s="680"/>
      <c r="T167" s="682"/>
      <c r="U167" s="683"/>
      <c r="V167" s="682"/>
      <c r="W167" s="679"/>
      <c r="X167" s="680"/>
      <c r="Y167" s="684"/>
    </row>
    <row r="168" spans="9:25" ht="11.25" customHeight="1">
      <c r="I168" s="679"/>
      <c r="J168" s="680"/>
      <c r="K168" s="680"/>
      <c r="L168" s="671"/>
      <c r="M168" s="672"/>
      <c r="N168" s="672"/>
      <c r="O168" s="673"/>
      <c r="P168" s="672"/>
      <c r="Q168" s="672"/>
      <c r="R168" s="672"/>
      <c r="S168" s="672"/>
      <c r="T168" s="694"/>
      <c r="U168" s="675"/>
      <c r="V168" s="694"/>
      <c r="W168" s="671"/>
      <c r="X168" s="672"/>
      <c r="Y168" s="676"/>
    </row>
    <row r="169" spans="9:25" ht="11.25" customHeight="1">
      <c r="I169" s="671"/>
      <c r="J169" s="672"/>
      <c r="K169" s="672"/>
      <c r="L169" s="679"/>
      <c r="M169" s="680"/>
      <c r="N169" s="680"/>
      <c r="O169" s="681"/>
      <c r="P169" s="680"/>
      <c r="Q169" s="680"/>
      <c r="R169" s="680"/>
      <c r="S169" s="680"/>
      <c r="T169" s="687"/>
      <c r="U169" s="683"/>
      <c r="V169" s="687"/>
      <c r="W169" s="679"/>
      <c r="X169" s="680"/>
      <c r="Y169" s="684"/>
    </row>
    <row r="170" spans="9:25" ht="11.25" customHeight="1">
      <c r="I170" s="679"/>
      <c r="J170" s="680"/>
      <c r="K170" s="680"/>
      <c r="L170" s="671"/>
      <c r="M170" s="672"/>
      <c r="N170" s="672"/>
      <c r="O170" s="673"/>
      <c r="P170" s="672"/>
      <c r="Q170" s="672"/>
      <c r="R170" s="672"/>
      <c r="S170" s="672"/>
      <c r="T170" s="674"/>
      <c r="U170" s="675"/>
      <c r="V170" s="674"/>
      <c r="W170" s="671"/>
      <c r="X170" s="672"/>
      <c r="Y170" s="676"/>
    </row>
    <row r="171" spans="9:25" ht="11.25" customHeight="1">
      <c r="I171" s="671"/>
      <c r="J171" s="672"/>
      <c r="K171" s="672"/>
      <c r="L171" s="671"/>
      <c r="M171" s="672"/>
      <c r="N171" s="672"/>
      <c r="O171" s="673"/>
      <c r="P171" s="672"/>
      <c r="Q171" s="672"/>
      <c r="R171" s="672"/>
      <c r="S171" s="672"/>
      <c r="T171" s="674"/>
      <c r="U171" s="675"/>
      <c r="V171" s="674"/>
      <c r="W171" s="671"/>
      <c r="X171" s="672"/>
      <c r="Y171" s="676"/>
    </row>
    <row r="172" spans="9:25" ht="11.25" customHeight="1">
      <c r="I172" s="671"/>
      <c r="J172" s="672"/>
      <c r="K172" s="672"/>
      <c r="L172" s="679"/>
      <c r="M172" s="680"/>
      <c r="N172" s="680"/>
      <c r="O172" s="681"/>
      <c r="P172" s="680"/>
      <c r="Q172" s="680"/>
      <c r="R172" s="680"/>
      <c r="S172" s="680"/>
      <c r="T172" s="682"/>
      <c r="U172" s="683"/>
      <c r="V172" s="682"/>
      <c r="W172" s="679"/>
      <c r="X172" s="680"/>
      <c r="Y172" s="684"/>
    </row>
    <row r="173" spans="9:25" ht="11.25" customHeight="1">
      <c r="I173" s="679"/>
      <c r="J173" s="680"/>
      <c r="K173" s="680"/>
      <c r="L173" s="671"/>
      <c r="M173" s="672"/>
      <c r="N173" s="672"/>
      <c r="O173" s="673"/>
      <c r="P173" s="672"/>
      <c r="Q173" s="672"/>
      <c r="R173" s="672"/>
      <c r="S173" s="672"/>
      <c r="T173" s="694"/>
      <c r="U173" s="675"/>
      <c r="V173" s="694"/>
      <c r="W173" s="671"/>
      <c r="X173" s="672"/>
      <c r="Y173" s="676"/>
    </row>
    <row r="174" spans="9:25" ht="11.25" customHeight="1">
      <c r="I174" s="671"/>
      <c r="J174" s="672"/>
      <c r="K174" s="672"/>
      <c r="L174" s="679"/>
      <c r="M174" s="680"/>
      <c r="N174" s="680"/>
      <c r="O174" s="681"/>
      <c r="P174" s="680"/>
      <c r="Q174" s="680"/>
      <c r="R174" s="680"/>
      <c r="S174" s="680"/>
      <c r="T174" s="682"/>
      <c r="U174" s="683"/>
      <c r="V174" s="682"/>
      <c r="W174" s="679"/>
      <c r="X174" s="680"/>
      <c r="Y174" s="684"/>
    </row>
    <row r="175" spans="9:25" ht="11.25" customHeight="1">
      <c r="I175" s="679"/>
      <c r="J175" s="680"/>
      <c r="K175" s="680"/>
      <c r="L175" s="679"/>
      <c r="M175" s="680"/>
      <c r="N175" s="680"/>
      <c r="O175" s="681"/>
      <c r="P175" s="680"/>
      <c r="Q175" s="680"/>
      <c r="R175" s="680"/>
      <c r="S175" s="680"/>
      <c r="T175" s="687"/>
      <c r="U175" s="683"/>
      <c r="V175" s="687"/>
      <c r="W175" s="679"/>
      <c r="X175" s="680"/>
      <c r="Y175" s="684"/>
    </row>
    <row r="176" spans="9:25" ht="11.25" customHeight="1">
      <c r="I176" s="679"/>
      <c r="J176" s="680"/>
      <c r="K176" s="680"/>
      <c r="L176" s="671"/>
      <c r="M176" s="672"/>
      <c r="N176" s="672"/>
      <c r="O176" s="673"/>
      <c r="P176" s="672"/>
      <c r="Q176" s="672"/>
      <c r="R176" s="672"/>
      <c r="S176" s="672"/>
      <c r="T176" s="674"/>
      <c r="U176" s="675"/>
      <c r="V176" s="674"/>
      <c r="W176" s="671"/>
      <c r="X176" s="672"/>
      <c r="Y176" s="676"/>
    </row>
    <row r="177" spans="9:25" ht="11.25" customHeight="1">
      <c r="I177" s="671"/>
      <c r="J177" s="672"/>
      <c r="K177" s="672"/>
      <c r="L177"/>
      <c r="M177"/>
      <c r="N177"/>
      <c r="O177"/>
      <c r="P177"/>
      <c r="Q177"/>
      <c r="R177"/>
      <c r="S177"/>
      <c r="T177" s="701"/>
      <c r="U177" s="701"/>
      <c r="V177" s="701"/>
      <c r="W177"/>
      <c r="X177"/>
      <c r="Y177"/>
    </row>
    <row r="178" spans="9:25" ht="11.25" customHeight="1">
      <c r="I178"/>
      <c r="J178"/>
      <c r="K178"/>
      <c r="L178"/>
      <c r="M178"/>
      <c r="N178"/>
      <c r="O178"/>
      <c r="P178"/>
      <c r="Q178"/>
      <c r="R178"/>
      <c r="S178"/>
      <c r="T178" s="701"/>
      <c r="U178" s="701"/>
      <c r="V178" s="701"/>
      <c r="W178"/>
      <c r="X178"/>
      <c r="Y178"/>
    </row>
    <row r="179" spans="9:25" ht="11.25" customHeight="1">
      <c r="I179"/>
      <c r="J179"/>
      <c r="K179"/>
      <c r="L179"/>
      <c r="M179"/>
      <c r="N179"/>
      <c r="O179"/>
      <c r="P179"/>
      <c r="Q179"/>
      <c r="R179"/>
      <c r="S179"/>
      <c r="T179" s="701"/>
      <c r="U179" s="701"/>
      <c r="V179" s="701"/>
      <c r="W179"/>
      <c r="X179"/>
      <c r="Y179"/>
    </row>
    <row r="180" spans="9:25" ht="11.25" customHeight="1">
      <c r="I180"/>
      <c r="J180"/>
      <c r="K180"/>
      <c r="L180"/>
      <c r="M180"/>
      <c r="N180"/>
      <c r="O180"/>
      <c r="P180"/>
      <c r="Q180"/>
      <c r="R180"/>
      <c r="S180"/>
      <c r="T180"/>
      <c r="U180"/>
      <c r="V180" t="s">
        <v>772</v>
      </c>
      <c r="W180" t="s">
        <v>773</v>
      </c>
      <c r="X180" s="786" t="s">
        <v>774</v>
      </c>
      <c r="Y180" t="s">
        <v>1379</v>
      </c>
    </row>
    <row r="181" spans="9:25" ht="11.25" customHeight="1">
      <c r="I181"/>
      <c r="J181"/>
      <c r="K181"/>
      <c r="L181"/>
      <c r="M181"/>
      <c r="N181"/>
      <c r="O181"/>
      <c r="P181"/>
      <c r="Q181"/>
      <c r="R181"/>
      <c r="S181"/>
      <c r="T181"/>
      <c r="U181" s="672" t="s">
        <v>711</v>
      </c>
      <c r="V181" s="677">
        <v>-12093710.289999999</v>
      </c>
      <c r="W181" s="677">
        <v>-11968438</v>
      </c>
      <c r="X181" s="677">
        <v>128147.28999999998</v>
      </c>
      <c r="Y181" s="677">
        <v>11974000</v>
      </c>
    </row>
    <row r="182" spans="9:25" ht="11.25" customHeight="1">
      <c r="I182"/>
      <c r="J182"/>
      <c r="K182"/>
      <c r="L182"/>
      <c r="M182"/>
      <c r="N182"/>
      <c r="O182"/>
      <c r="P182"/>
      <c r="Q182"/>
      <c r="R182"/>
      <c r="S182"/>
      <c r="T182"/>
      <c r="U182" s="680" t="s">
        <v>709</v>
      </c>
      <c r="V182" s="677">
        <v>6433464.3899999997</v>
      </c>
      <c r="W182" s="677">
        <v>6376843</v>
      </c>
      <c r="X182" s="677">
        <v>-56621.389999999992</v>
      </c>
      <c r="Y182" s="677">
        <v>-6310000</v>
      </c>
    </row>
    <row r="183" spans="9:25" ht="11.25" customHeight="1">
      <c r="I183"/>
      <c r="J183"/>
      <c r="K183"/>
      <c r="L183"/>
      <c r="M183"/>
      <c r="N183"/>
      <c r="O183"/>
      <c r="P183"/>
      <c r="Q183"/>
      <c r="R183"/>
      <c r="S183"/>
      <c r="T183"/>
      <c r="U183" s="680" t="s">
        <v>720</v>
      </c>
      <c r="V183" s="677">
        <v>0</v>
      </c>
      <c r="W183"/>
      <c r="X183" s="405">
        <v>71525.899999999994</v>
      </c>
      <c r="Y183" s="405">
        <v>5664000</v>
      </c>
    </row>
    <row r="184" spans="9:25" ht="11.25" customHeight="1">
      <c r="I184"/>
      <c r="J184"/>
      <c r="K184"/>
      <c r="L184"/>
      <c r="M184"/>
      <c r="N184"/>
      <c r="O184"/>
      <c r="P184"/>
      <c r="Q184"/>
      <c r="R184"/>
      <c r="S184"/>
      <c r="T184"/>
      <c r="U184"/>
      <c r="V184" s="702">
        <v>-7864996.9399999976</v>
      </c>
      <c r="W184"/>
      <c r="X184"/>
      <c r="Y184"/>
    </row>
    <row r="185" spans="9:25" ht="11.25" customHeight="1"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 s="405">
        <v>71525.899999999994</v>
      </c>
      <c r="Y185"/>
    </row>
    <row r="186" spans="9:25" ht="11.25" customHeight="1">
      <c r="I186"/>
      <c r="J186"/>
      <c r="K186"/>
      <c r="L186"/>
      <c r="M186"/>
      <c r="N186"/>
      <c r="O186"/>
      <c r="P186"/>
      <c r="Q186"/>
      <c r="R186"/>
      <c r="S186"/>
      <c r="T186"/>
      <c r="U186"/>
      <c r="V186" s="703"/>
      <c r="W186" s="533"/>
      <c r="X186"/>
      <c r="Y186" s="533"/>
    </row>
    <row r="187" spans="9:25" ht="11.25" customHeight="1">
      <c r="I187"/>
      <c r="J187"/>
      <c r="K187"/>
      <c r="L187"/>
      <c r="M187"/>
      <c r="N187"/>
      <c r="O187"/>
      <c r="P187"/>
      <c r="Q187"/>
      <c r="R187"/>
      <c r="S187"/>
      <c r="T187"/>
      <c r="U187" t="s">
        <v>721</v>
      </c>
      <c r="V187" s="677">
        <v>9452039.5300000235</v>
      </c>
      <c r="W187" s="533"/>
      <c r="X187"/>
      <c r="Y187" s="533"/>
    </row>
    <row r="188" spans="9:25" ht="11.25" customHeight="1">
      <c r="I188"/>
      <c r="J188"/>
      <c r="K188"/>
      <c r="L188"/>
      <c r="M188"/>
      <c r="N188"/>
      <c r="O188"/>
      <c r="P188"/>
      <c r="Q188"/>
      <c r="R188"/>
      <c r="S188"/>
      <c r="T188"/>
      <c r="U188" t="s">
        <v>710</v>
      </c>
      <c r="V188" s="677">
        <v>11974000</v>
      </c>
      <c r="W188" s="533"/>
      <c r="X188"/>
      <c r="Y188" s="533"/>
    </row>
    <row r="189" spans="9:25" ht="11.25" customHeight="1">
      <c r="I189"/>
      <c r="J189"/>
      <c r="K189"/>
      <c r="L189"/>
      <c r="M189"/>
      <c r="N189"/>
      <c r="O189"/>
      <c r="P189"/>
      <c r="Q189"/>
      <c r="R189"/>
      <c r="S189"/>
      <c r="T189"/>
      <c r="U189" t="s">
        <v>722</v>
      </c>
      <c r="V189" s="677">
        <v>-6310000</v>
      </c>
      <c r="W189" s="533"/>
      <c r="X189" s="405"/>
      <c r="Y189" s="533"/>
    </row>
    <row r="190" spans="9:25" ht="11.25" customHeight="1">
      <c r="I190"/>
      <c r="J190"/>
      <c r="K190"/>
      <c r="L190"/>
      <c r="M190"/>
      <c r="N190"/>
      <c r="O190"/>
      <c r="P190"/>
      <c r="Q190"/>
      <c r="R190"/>
      <c r="S190"/>
      <c r="T190" s="533">
        <v>260284.25000000003</v>
      </c>
      <c r="U190" t="s">
        <v>797</v>
      </c>
      <c r="V190" s="677">
        <v>71809.179999999993</v>
      </c>
      <c r="W190" s="533"/>
      <c r="X190" s="405"/>
      <c r="Y190" s="533"/>
    </row>
    <row r="191" spans="9:25" ht="11.25" customHeight="1">
      <c r="I191"/>
      <c r="J191"/>
      <c r="K191"/>
      <c r="L191"/>
      <c r="M191"/>
      <c r="N191"/>
      <c r="O191"/>
      <c r="P191"/>
      <c r="Q191"/>
      <c r="R191"/>
      <c r="S191"/>
      <c r="T191" s="405">
        <v>39060.019999999997</v>
      </c>
      <c r="U191" t="s">
        <v>798</v>
      </c>
      <c r="V191" s="677">
        <v>219446.12</v>
      </c>
      <c r="W191" s="533"/>
      <c r="X191" s="405"/>
      <c r="Y191" s="405"/>
    </row>
    <row r="192" spans="9:25" ht="11.25" customHeight="1">
      <c r="I192"/>
      <c r="J192"/>
      <c r="K192"/>
      <c r="L192"/>
      <c r="M192"/>
      <c r="N192"/>
      <c r="O192"/>
      <c r="P192"/>
      <c r="Q192"/>
      <c r="R192"/>
      <c r="S192"/>
      <c r="T192"/>
      <c r="U192" t="s">
        <v>850</v>
      </c>
      <c r="V192" s="704">
        <v>-77240.094526477536</v>
      </c>
      <c r="W192" s="533"/>
      <c r="X192"/>
      <c r="Y192"/>
    </row>
    <row r="193" spans="9:25" ht="11.25" customHeight="1">
      <c r="I193"/>
      <c r="J193"/>
      <c r="K193"/>
      <c r="L193"/>
      <c r="M193"/>
      <c r="N193"/>
      <c r="O193"/>
      <c r="P193"/>
      <c r="Q193"/>
      <c r="R193"/>
      <c r="S193"/>
      <c r="T193"/>
      <c r="U193" t="s">
        <v>723</v>
      </c>
      <c r="V193" s="677">
        <v>15330054.735473545</v>
      </c>
      <c r="W193" s="405"/>
      <c r="X193"/>
      <c r="Y193" s="405"/>
    </row>
    <row r="194" spans="9:25" ht="11.25" customHeight="1"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 s="405"/>
    </row>
    <row r="195" spans="9:25" ht="11.25" customHeight="1">
      <c r="I195"/>
      <c r="J195"/>
      <c r="K195"/>
      <c r="L195"/>
      <c r="M195"/>
      <c r="N195"/>
      <c r="O195"/>
      <c r="P195"/>
      <c r="Q195"/>
      <c r="R195"/>
      <c r="S195"/>
      <c r="T195"/>
      <c r="U195" t="s">
        <v>724</v>
      </c>
      <c r="V195" s="677">
        <v>15330054.735473545</v>
      </c>
      <c r="W195" s="405"/>
      <c r="X195"/>
      <c r="Y195"/>
    </row>
    <row r="196" spans="9:25" ht="11.25" customHeight="1">
      <c r="I196"/>
      <c r="J196"/>
      <c r="K196"/>
      <c r="L196"/>
      <c r="M196"/>
      <c r="N196"/>
      <c r="O196"/>
      <c r="P196"/>
      <c r="Q196"/>
      <c r="R196"/>
      <c r="S196"/>
      <c r="T196"/>
      <c r="U196"/>
      <c r="V196" s="405">
        <v>0</v>
      </c>
      <c r="W196" s="405"/>
      <c r="X196" s="405"/>
      <c r="Y196"/>
    </row>
    <row r="197" spans="9:25" ht="11.25" customHeight="1">
      <c r="I197"/>
      <c r="J197"/>
      <c r="K197"/>
      <c r="L197"/>
      <c r="M197"/>
      <c r="N197"/>
      <c r="O197"/>
      <c r="P197"/>
      <c r="Q197"/>
      <c r="R197"/>
      <c r="S197"/>
      <c r="T197"/>
      <c r="U197"/>
      <c r="V197" s="405"/>
      <c r="W197" s="405"/>
      <c r="X197"/>
      <c r="Y197"/>
    </row>
    <row r="198" spans="9:25" ht="11.25" customHeight="1">
      <c r="I198"/>
      <c r="J198"/>
      <c r="K198"/>
      <c r="L198"/>
      <c r="M198"/>
      <c r="N198"/>
      <c r="O198"/>
      <c r="P198"/>
      <c r="Q198"/>
      <c r="R198"/>
      <c r="S198"/>
      <c r="T198"/>
      <c r="U198"/>
      <c r="V198" s="794"/>
      <c r="W198" s="533"/>
      <c r="X198"/>
      <c r="Y198"/>
    </row>
    <row r="199" spans="9:25" ht="11.25" customHeight="1">
      <c r="I199"/>
      <c r="J199"/>
      <c r="K199"/>
      <c r="L199"/>
      <c r="M199"/>
      <c r="N199"/>
      <c r="O199"/>
      <c r="P199"/>
      <c r="Q199"/>
      <c r="R199"/>
      <c r="S199"/>
      <c r="T199"/>
      <c r="U199"/>
      <c r="V199" s="795"/>
      <c r="W199" s="533"/>
      <c r="X199"/>
      <c r="Y199"/>
    </row>
    <row r="200" spans="9:25" ht="11.25" customHeight="1">
      <c r="I200"/>
      <c r="J200"/>
      <c r="K200"/>
      <c r="L200"/>
      <c r="M200"/>
      <c r="N200"/>
      <c r="O200"/>
      <c r="P200"/>
      <c r="Q200"/>
      <c r="R200"/>
      <c r="S200"/>
      <c r="T200"/>
      <c r="U200"/>
      <c r="V200" s="795"/>
      <c r="W200" s="533"/>
      <c r="X200"/>
      <c r="Y200"/>
    </row>
    <row r="201" spans="9:25" ht="11.25" customHeight="1">
      <c r="I201"/>
      <c r="J201"/>
      <c r="K201"/>
      <c r="L201"/>
      <c r="M201"/>
      <c r="N201"/>
      <c r="O201"/>
      <c r="P201"/>
      <c r="Q201"/>
      <c r="R201"/>
      <c r="S201"/>
      <c r="T201"/>
      <c r="U201"/>
      <c r="V201" s="795"/>
      <c r="W201" s="533"/>
      <c r="X201"/>
      <c r="Y201"/>
    </row>
    <row r="202" spans="9:25" ht="11.25" customHeight="1">
      <c r="I202"/>
      <c r="J202"/>
      <c r="K202"/>
      <c r="L202"/>
      <c r="M202"/>
      <c r="N202"/>
      <c r="O202"/>
      <c r="P202"/>
      <c r="Q202"/>
      <c r="R202"/>
      <c r="S202"/>
      <c r="T202"/>
      <c r="U202"/>
      <c r="V202" s="795"/>
      <c r="W202" s="533"/>
      <c r="X202" s="405"/>
      <c r="Y202"/>
    </row>
    <row r="203" spans="9:25" ht="11.25" customHeight="1">
      <c r="I203"/>
      <c r="J203"/>
      <c r="K203"/>
      <c r="L203"/>
      <c r="M203"/>
      <c r="N203"/>
      <c r="O203"/>
      <c r="P203"/>
      <c r="Q203"/>
      <c r="R203"/>
      <c r="S203"/>
      <c r="T203"/>
      <c r="U203"/>
      <c r="V203" s="795"/>
      <c r="W203" s="533"/>
      <c r="X203"/>
      <c r="Y203"/>
    </row>
    <row r="204" spans="9:25" ht="11.25" customHeight="1">
      <c r="I204"/>
      <c r="J204"/>
      <c r="K204"/>
      <c r="L204"/>
      <c r="M204"/>
      <c r="N204"/>
      <c r="O204"/>
      <c r="P204"/>
      <c r="Q204"/>
      <c r="R204"/>
      <c r="S204"/>
      <c r="T204"/>
      <c r="U204"/>
      <c r="V204" s="813"/>
      <c r="W204" s="533"/>
      <c r="X204" s="405"/>
      <c r="Y204"/>
    </row>
    <row r="205" spans="9:25" ht="11.25" customHeight="1">
      <c r="I205"/>
      <c r="J205"/>
      <c r="K205"/>
      <c r="L205"/>
      <c r="M205"/>
      <c r="N205"/>
      <c r="O205"/>
      <c r="P205"/>
      <c r="Q205"/>
      <c r="R205"/>
      <c r="S205"/>
      <c r="T205"/>
      <c r="U205"/>
      <c r="V205" s="813"/>
      <c r="W205" s="533"/>
      <c r="X205" s="405"/>
      <c r="Y205"/>
    </row>
    <row r="206" spans="9:25" ht="11.25" customHeight="1">
      <c r="I206"/>
      <c r="J206"/>
      <c r="K206"/>
      <c r="L206"/>
      <c r="M206"/>
      <c r="N206"/>
      <c r="O206"/>
      <c r="P206"/>
      <c r="Q206"/>
      <c r="R206"/>
      <c r="S206"/>
      <c r="T206"/>
      <c r="U206"/>
      <c r="V206" s="814"/>
      <c r="W206" s="533"/>
      <c r="X206" s="405"/>
      <c r="Y206"/>
    </row>
    <row r="207" spans="9:25" ht="11.25" customHeight="1">
      <c r="I207"/>
      <c r="J207"/>
      <c r="K207"/>
      <c r="V207" s="815"/>
      <c r="W207" s="793"/>
    </row>
    <row r="208" spans="9:25" ht="11.25" customHeight="1"/>
    <row r="209" spans="9:22" ht="11.25" customHeight="1"/>
    <row r="210" spans="9:22" ht="11.25" customHeight="1"/>
    <row r="211" spans="9:22" ht="11.25" customHeight="1">
      <c r="S211" s="716"/>
    </row>
    <row r="212" spans="9:22" ht="11.25" customHeight="1">
      <c r="U212" s="716"/>
    </row>
    <row r="213" spans="9:22" ht="11.25" customHeight="1"/>
    <row r="214" spans="9:22" ht="11.25" customHeight="1"/>
    <row r="215" spans="9:22" ht="11.25" customHeight="1"/>
    <row r="216" spans="9:22" ht="11.25" customHeight="1"/>
    <row r="217" spans="9:22" ht="11.25" customHeight="1"/>
    <row r="218" spans="9:22" ht="11.25" customHeight="1"/>
    <row r="219" spans="9:22" ht="11.25" customHeight="1"/>
    <row r="220" spans="9:22" ht="11.25" customHeight="1">
      <c r="I220" s="665"/>
      <c r="J220" s="665"/>
      <c r="K220" s="665"/>
      <c r="L220" s="665"/>
      <c r="M220" s="665"/>
      <c r="N220" s="665"/>
      <c r="O220" s="665"/>
      <c r="P220" s="665"/>
      <c r="Q220" s="665"/>
      <c r="R220" s="665"/>
      <c r="S220" s="666"/>
      <c r="T220" s="665"/>
      <c r="U220" s="665"/>
      <c r="V220" s="665"/>
    </row>
    <row r="221" spans="9:22" ht="11.25" customHeight="1">
      <c r="I221" s="679"/>
      <c r="J221" s="680"/>
      <c r="K221" s="695"/>
      <c r="L221" s="681"/>
      <c r="M221" s="680"/>
      <c r="N221" s="680"/>
      <c r="O221" s="680"/>
      <c r="P221" s="695"/>
      <c r="Q221" s="796"/>
      <c r="R221" s="683"/>
      <c r="S221" s="687"/>
      <c r="T221" s="679"/>
      <c r="U221" s="680"/>
      <c r="V221" s="684"/>
    </row>
    <row r="222" spans="9:22" ht="11.25" customHeight="1">
      <c r="I222" s="671"/>
      <c r="J222" s="672"/>
      <c r="K222" s="672"/>
      <c r="L222" s="673"/>
      <c r="M222" s="672"/>
      <c r="N222" s="672"/>
      <c r="O222" s="672"/>
      <c r="P222" s="685"/>
      <c r="Q222" s="711"/>
      <c r="R222" s="675"/>
      <c r="S222" s="694"/>
      <c r="T222" s="671"/>
      <c r="U222" s="672"/>
      <c r="V222" s="676"/>
    </row>
    <row r="223" spans="9:22" ht="11.25" customHeight="1">
      <c r="I223" s="679"/>
      <c r="J223" s="680"/>
      <c r="K223" s="680"/>
      <c r="L223" s="681"/>
      <c r="M223" s="680"/>
      <c r="N223" s="680"/>
      <c r="O223" s="680"/>
      <c r="P223" s="695"/>
      <c r="Q223" s="796"/>
      <c r="R223" s="683"/>
      <c r="S223" s="687"/>
      <c r="T223" s="679"/>
      <c r="U223" s="680"/>
      <c r="V223" s="684"/>
    </row>
    <row r="224" spans="9:22" ht="11.25" customHeight="1">
      <c r="I224" s="671"/>
      <c r="J224" s="672"/>
      <c r="K224" s="672"/>
      <c r="L224" s="673"/>
      <c r="M224" s="672"/>
      <c r="N224" s="672"/>
      <c r="O224" s="672"/>
      <c r="P224" s="685"/>
      <c r="Q224" s="711"/>
      <c r="R224" s="675"/>
      <c r="S224" s="674"/>
      <c r="T224" s="671"/>
      <c r="U224" s="672"/>
      <c r="V224" s="676"/>
    </row>
    <row r="225" spans="9:22" ht="11.25" customHeight="1">
      <c r="I225" s="679"/>
      <c r="J225" s="680"/>
      <c r="K225" s="680"/>
      <c r="L225" s="681"/>
      <c r="M225" s="680"/>
      <c r="N225" s="680"/>
      <c r="O225" s="680"/>
      <c r="P225" s="695"/>
      <c r="Q225" s="796"/>
      <c r="R225" s="683"/>
      <c r="S225" s="687"/>
      <c r="T225" s="679"/>
      <c r="U225" s="680"/>
      <c r="V225" s="684"/>
    </row>
    <row r="226" spans="9:22" ht="11.25" customHeight="1">
      <c r="I226" s="671"/>
      <c r="J226" s="672"/>
      <c r="K226" s="672"/>
      <c r="L226" s="673"/>
      <c r="M226" s="672"/>
      <c r="N226" s="672"/>
      <c r="O226" s="672"/>
      <c r="P226" s="685"/>
      <c r="Q226" s="711"/>
      <c r="R226" s="675"/>
      <c r="S226" s="674"/>
      <c r="T226" s="671"/>
      <c r="U226" s="672"/>
      <c r="V226" s="676"/>
    </row>
    <row r="227" spans="9:22" ht="11.25" customHeight="1">
      <c r="S227" s="797"/>
    </row>
    <row r="228" spans="9:22" ht="11.25" customHeight="1"/>
    <row r="229" spans="9:22" ht="11.25" customHeight="1"/>
    <row r="230" spans="9:22" ht="11.25" customHeight="1"/>
    <row r="231" spans="9:22" ht="11.25" customHeight="1"/>
    <row r="232" spans="9:22" ht="11.25" customHeight="1"/>
    <row r="233" spans="9:22" ht="11.25" customHeight="1"/>
    <row r="234" spans="9:22" ht="11.25" customHeight="1"/>
    <row r="235" spans="9:22" ht="11.25" customHeight="1"/>
    <row r="236" spans="9:22" ht="11.25" customHeight="1"/>
    <row r="237" spans="9:22" ht="11.25" customHeight="1"/>
    <row r="238" spans="9:22" ht="11.25" customHeight="1"/>
    <row r="239" spans="9:22" ht="11.25" customHeight="1"/>
    <row r="240" spans="9:22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705"/>
  <sheetViews>
    <sheetView topLeftCell="N7" workbookViewId="0">
      <selection activeCell="Y22" sqref="Y22"/>
    </sheetView>
  </sheetViews>
  <sheetFormatPr baseColWidth="10" defaultColWidth="11.42578125" defaultRowHeight="15"/>
  <cols>
    <col min="16" max="16" width="15.140625" bestFit="1" customWidth="1"/>
    <col min="17" max="17" width="13.85546875" bestFit="1" customWidth="1"/>
    <col min="19" max="19" width="13.85546875" bestFit="1" customWidth="1"/>
    <col min="20" max="20" width="32.28515625" customWidth="1"/>
    <col min="21" max="21" width="20.140625" customWidth="1"/>
    <col min="22" max="22" width="14.140625" bestFit="1" customWidth="1"/>
    <col min="23" max="23" width="14.85546875" bestFit="1" customWidth="1"/>
  </cols>
  <sheetData>
    <row r="1" spans="1:24">
      <c r="A1" t="s">
        <v>858</v>
      </c>
      <c r="B1" t="s">
        <v>859</v>
      </c>
      <c r="C1" t="s">
        <v>860</v>
      </c>
      <c r="D1" t="s">
        <v>861</v>
      </c>
      <c r="E1" t="s">
        <v>862</v>
      </c>
      <c r="F1" t="s">
        <v>863</v>
      </c>
      <c r="G1" t="s">
        <v>864</v>
      </c>
      <c r="H1" t="s">
        <v>865</v>
      </c>
      <c r="I1" t="s">
        <v>866</v>
      </c>
      <c r="J1" t="s">
        <v>867</v>
      </c>
      <c r="K1" t="s">
        <v>868</v>
      </c>
      <c r="L1" t="s">
        <v>869</v>
      </c>
      <c r="M1" t="s">
        <v>870</v>
      </c>
      <c r="N1" t="s">
        <v>871</v>
      </c>
      <c r="O1" t="s">
        <v>872</v>
      </c>
      <c r="P1" s="819" t="s">
        <v>873</v>
      </c>
      <c r="Q1" s="820" t="s">
        <v>874</v>
      </c>
      <c r="R1" t="s">
        <v>875</v>
      </c>
      <c r="T1" s="826" t="s">
        <v>875</v>
      </c>
      <c r="U1" t="s">
        <v>876</v>
      </c>
    </row>
    <row r="2" spans="1:24">
      <c r="A2" s="821" t="s">
        <v>877</v>
      </c>
      <c r="B2" s="821" t="s">
        <v>878</v>
      </c>
      <c r="C2" s="821" t="s">
        <v>879</v>
      </c>
      <c r="D2" s="821" t="s">
        <v>880</v>
      </c>
      <c r="E2" s="821" t="s">
        <v>880</v>
      </c>
      <c r="F2" s="821" t="s">
        <v>881</v>
      </c>
      <c r="G2" s="821" t="s">
        <v>882</v>
      </c>
      <c r="H2" s="821" t="s">
        <v>883</v>
      </c>
      <c r="I2" s="821" t="s">
        <v>884</v>
      </c>
      <c r="J2" s="821" t="s">
        <v>885</v>
      </c>
      <c r="K2" s="821" t="s">
        <v>886</v>
      </c>
      <c r="L2" s="821" t="s">
        <v>884</v>
      </c>
      <c r="M2" s="821" t="s">
        <v>887</v>
      </c>
      <c r="N2" s="821" t="s">
        <v>888</v>
      </c>
      <c r="O2" s="821" t="s">
        <v>886</v>
      </c>
      <c r="P2" s="819">
        <v>125205</v>
      </c>
      <c r="Q2" s="820"/>
      <c r="R2" t="str">
        <f>MID(L2,1,6)</f>
        <v>201701</v>
      </c>
      <c r="S2" s="405">
        <f>-Q2</f>
        <v>0</v>
      </c>
    </row>
    <row r="3" spans="1:24">
      <c r="A3" s="821" t="s">
        <v>877</v>
      </c>
      <c r="B3" s="821" t="s">
        <v>878</v>
      </c>
      <c r="C3" s="821" t="s">
        <v>879</v>
      </c>
      <c r="D3" s="821" t="s">
        <v>880</v>
      </c>
      <c r="E3" s="821" t="s">
        <v>880</v>
      </c>
      <c r="F3" s="821" t="s">
        <v>881</v>
      </c>
      <c r="G3" s="821" t="s">
        <v>882</v>
      </c>
      <c r="H3" s="821" t="s">
        <v>883</v>
      </c>
      <c r="I3" s="821" t="s">
        <v>889</v>
      </c>
      <c r="J3" s="821" t="s">
        <v>885</v>
      </c>
      <c r="K3" s="821" t="s">
        <v>886</v>
      </c>
      <c r="L3" s="821" t="s">
        <v>889</v>
      </c>
      <c r="M3" s="821" t="s">
        <v>887</v>
      </c>
      <c r="N3" s="821" t="s">
        <v>888</v>
      </c>
      <c r="O3" s="821" t="s">
        <v>886</v>
      </c>
      <c r="P3" s="819">
        <v>108187</v>
      </c>
      <c r="Q3" s="820">
        <v>-1081.8699999999999</v>
      </c>
      <c r="R3" t="str">
        <f t="shared" ref="R3:R66" si="0">MID(L3,1,6)</f>
        <v>201701</v>
      </c>
      <c r="S3" s="405">
        <f>-Q3</f>
        <v>1081.8699999999999</v>
      </c>
      <c r="T3" s="826" t="s">
        <v>890</v>
      </c>
      <c r="U3" t="s">
        <v>891</v>
      </c>
    </row>
    <row r="4" spans="1:24">
      <c r="A4" s="821" t="s">
        <v>877</v>
      </c>
      <c r="B4" s="821" t="s">
        <v>878</v>
      </c>
      <c r="C4" s="821" t="s">
        <v>879</v>
      </c>
      <c r="D4" s="821" t="s">
        <v>880</v>
      </c>
      <c r="E4" s="821" t="s">
        <v>880</v>
      </c>
      <c r="F4" s="821" t="s">
        <v>881</v>
      </c>
      <c r="G4" s="821" t="s">
        <v>882</v>
      </c>
      <c r="H4" s="821" t="s">
        <v>883</v>
      </c>
      <c r="I4" s="821" t="s">
        <v>892</v>
      </c>
      <c r="J4" s="821" t="s">
        <v>885</v>
      </c>
      <c r="K4" s="821" t="s">
        <v>886</v>
      </c>
      <c r="L4" s="821" t="s">
        <v>892</v>
      </c>
      <c r="M4" s="821" t="s">
        <v>887</v>
      </c>
      <c r="N4" s="821" t="s">
        <v>886</v>
      </c>
      <c r="O4" s="821" t="s">
        <v>886</v>
      </c>
      <c r="P4" s="819">
        <v>92026</v>
      </c>
      <c r="Q4" s="820">
        <v>920.26</v>
      </c>
      <c r="R4" t="str">
        <f t="shared" si="0"/>
        <v>201701</v>
      </c>
      <c r="S4" s="405">
        <f>Q4</f>
        <v>920.26</v>
      </c>
      <c r="T4" s="822" t="s">
        <v>886</v>
      </c>
      <c r="U4" s="405">
        <v>44792787.660000019</v>
      </c>
      <c r="V4" s="533">
        <v>44103.92</v>
      </c>
      <c r="W4" s="405">
        <f>GETPIVOTDATA("Importe real",$T$3,"Tipo Mov","0")-V4+U16+U17-U13</f>
        <v>44787284.530000016</v>
      </c>
    </row>
    <row r="5" spans="1:24">
      <c r="A5" s="821" t="s">
        <v>877</v>
      </c>
      <c r="B5" s="821" t="s">
        <v>878</v>
      </c>
      <c r="C5" s="821" t="s">
        <v>879</v>
      </c>
      <c r="D5" s="821" t="s">
        <v>880</v>
      </c>
      <c r="E5" s="821" t="s">
        <v>880</v>
      </c>
      <c r="F5" s="821" t="s">
        <v>881</v>
      </c>
      <c r="G5" s="821" t="s">
        <v>882</v>
      </c>
      <c r="H5" s="821" t="s">
        <v>883</v>
      </c>
      <c r="I5" s="821" t="s">
        <v>893</v>
      </c>
      <c r="J5" s="821" t="s">
        <v>885</v>
      </c>
      <c r="K5" s="821" t="s">
        <v>886</v>
      </c>
      <c r="L5" s="821" t="s">
        <v>893</v>
      </c>
      <c r="M5" s="821" t="s">
        <v>887</v>
      </c>
      <c r="N5" s="821" t="s">
        <v>888</v>
      </c>
      <c r="O5" s="821" t="s">
        <v>886</v>
      </c>
      <c r="P5" s="819">
        <v>168078</v>
      </c>
      <c r="Q5" s="820">
        <v>-1680.78</v>
      </c>
      <c r="R5" t="str">
        <f t="shared" si="0"/>
        <v>201701</v>
      </c>
      <c r="S5" s="405">
        <f>-Q5</f>
        <v>1680.78</v>
      </c>
      <c r="T5" s="822" t="s">
        <v>888</v>
      </c>
      <c r="U5" s="405">
        <v>-37034292.929999977</v>
      </c>
      <c r="V5" s="405">
        <f>U18+U19</f>
        <v>176440.48</v>
      </c>
      <c r="W5" s="405">
        <f>GETPIVOTDATA("Importe real",$T$3,"Tipo Mov","1")+V5-1</f>
        <v>-36857853.449999981</v>
      </c>
    </row>
    <row r="6" spans="1:24">
      <c r="A6" s="821" t="s">
        <v>877</v>
      </c>
      <c r="B6" s="821" t="s">
        <v>878</v>
      </c>
      <c r="C6" s="821" t="s">
        <v>879</v>
      </c>
      <c r="D6" s="821" t="s">
        <v>880</v>
      </c>
      <c r="E6" s="821" t="s">
        <v>880</v>
      </c>
      <c r="F6" s="821" t="s">
        <v>881</v>
      </c>
      <c r="G6" s="821" t="s">
        <v>882</v>
      </c>
      <c r="H6" s="821" t="s">
        <v>883</v>
      </c>
      <c r="I6" s="821" t="s">
        <v>894</v>
      </c>
      <c r="J6" s="821" t="s">
        <v>885</v>
      </c>
      <c r="K6" s="821" t="s">
        <v>886</v>
      </c>
      <c r="L6" s="821" t="s">
        <v>894</v>
      </c>
      <c r="M6" s="821" t="s">
        <v>887</v>
      </c>
      <c r="N6" s="821" t="s">
        <v>886</v>
      </c>
      <c r="O6" s="821" t="s">
        <v>886</v>
      </c>
      <c r="P6" s="819">
        <v>38974</v>
      </c>
      <c r="Q6" s="820">
        <v>389.74</v>
      </c>
      <c r="R6" t="str">
        <f t="shared" si="0"/>
        <v>201701</v>
      </c>
      <c r="S6" s="405">
        <f>Q6</f>
        <v>389.74</v>
      </c>
      <c r="T6" s="822" t="s">
        <v>895</v>
      </c>
      <c r="U6" s="405">
        <v>7758494.7300000414</v>
      </c>
    </row>
    <row r="7" spans="1:24">
      <c r="A7" s="821" t="s">
        <v>877</v>
      </c>
      <c r="B7" s="821" t="s">
        <v>878</v>
      </c>
      <c r="C7" s="821" t="s">
        <v>879</v>
      </c>
      <c r="D7" s="821" t="s">
        <v>880</v>
      </c>
      <c r="E7" s="821" t="s">
        <v>880</v>
      </c>
      <c r="F7" s="821" t="s">
        <v>881</v>
      </c>
      <c r="G7" s="821" t="s">
        <v>882</v>
      </c>
      <c r="H7" s="821" t="s">
        <v>883</v>
      </c>
      <c r="I7" s="821" t="s">
        <v>896</v>
      </c>
      <c r="J7" s="821" t="s">
        <v>885</v>
      </c>
      <c r="K7" s="821" t="s">
        <v>886</v>
      </c>
      <c r="L7" s="821" t="s">
        <v>896</v>
      </c>
      <c r="M7" s="821" t="s">
        <v>887</v>
      </c>
      <c r="N7" s="821" t="s">
        <v>886</v>
      </c>
      <c r="O7" s="821" t="s">
        <v>886</v>
      </c>
      <c r="P7" s="819">
        <v>130974</v>
      </c>
      <c r="Q7" s="820">
        <v>1309.74</v>
      </c>
      <c r="R7" t="str">
        <f t="shared" si="0"/>
        <v>201701</v>
      </c>
      <c r="S7" s="405">
        <f>Q7</f>
        <v>1309.74</v>
      </c>
      <c r="W7" s="533"/>
    </row>
    <row r="8" spans="1:24">
      <c r="A8" s="821" t="s">
        <v>877</v>
      </c>
      <c r="B8" s="821" t="s">
        <v>878</v>
      </c>
      <c r="C8" s="821" t="s">
        <v>879</v>
      </c>
      <c r="D8" s="821" t="s">
        <v>880</v>
      </c>
      <c r="E8" s="821" t="s">
        <v>880</v>
      </c>
      <c r="F8" s="821" t="s">
        <v>881</v>
      </c>
      <c r="G8" s="821" t="s">
        <v>882</v>
      </c>
      <c r="H8" s="821" t="s">
        <v>883</v>
      </c>
      <c r="I8" s="821" t="s">
        <v>897</v>
      </c>
      <c r="J8" s="821" t="s">
        <v>885</v>
      </c>
      <c r="K8" s="821" t="s">
        <v>886</v>
      </c>
      <c r="L8" s="821" t="s">
        <v>897</v>
      </c>
      <c r="M8" s="821" t="s">
        <v>887</v>
      </c>
      <c r="N8" s="821" t="s">
        <v>886</v>
      </c>
      <c r="O8" s="821" t="s">
        <v>886</v>
      </c>
      <c r="P8" s="819">
        <v>229730</v>
      </c>
      <c r="Q8" s="820">
        <v>2297.3000000000002</v>
      </c>
      <c r="R8" t="str">
        <f t="shared" si="0"/>
        <v>201701</v>
      </c>
      <c r="S8" s="405">
        <f>Q8</f>
        <v>2297.3000000000002</v>
      </c>
      <c r="W8" s="405"/>
    </row>
    <row r="9" spans="1:24">
      <c r="A9" s="821" t="s">
        <v>877</v>
      </c>
      <c r="B9" s="821" t="s">
        <v>878</v>
      </c>
      <c r="C9" s="821" t="s">
        <v>879</v>
      </c>
      <c r="D9" s="821" t="s">
        <v>880</v>
      </c>
      <c r="E9" s="821" t="s">
        <v>880</v>
      </c>
      <c r="F9" s="821" t="s">
        <v>881</v>
      </c>
      <c r="G9" s="821" t="s">
        <v>882</v>
      </c>
      <c r="H9" s="821" t="s">
        <v>883</v>
      </c>
      <c r="I9" s="821" t="s">
        <v>898</v>
      </c>
      <c r="J9" s="821" t="s">
        <v>885</v>
      </c>
      <c r="K9" s="821" t="s">
        <v>886</v>
      </c>
      <c r="L9" s="821" t="s">
        <v>898</v>
      </c>
      <c r="M9" s="821" t="s">
        <v>887</v>
      </c>
      <c r="N9" s="821" t="s">
        <v>886</v>
      </c>
      <c r="O9" s="821" t="s">
        <v>886</v>
      </c>
      <c r="P9" s="819">
        <v>23008</v>
      </c>
      <c r="Q9" s="820">
        <v>230.08</v>
      </c>
      <c r="R9" t="str">
        <f t="shared" si="0"/>
        <v>201701</v>
      </c>
      <c r="S9" s="405">
        <f>Q9</f>
        <v>230.08</v>
      </c>
      <c r="U9" s="533">
        <f>GETPIVOTDATA("Importe real",$T$3,"Tipo Mov","0")-GETPIVOTDATA("Importe real",$T$3,"Tipo Mov","1")</f>
        <v>81827080.590000004</v>
      </c>
    </row>
    <row r="10" spans="1:24">
      <c r="A10" s="821" t="s">
        <v>877</v>
      </c>
      <c r="B10" s="821" t="s">
        <v>878</v>
      </c>
      <c r="C10" s="821" t="s">
        <v>879</v>
      </c>
      <c r="D10" s="821" t="s">
        <v>880</v>
      </c>
      <c r="E10" s="821" t="s">
        <v>880</v>
      </c>
      <c r="F10" s="821" t="s">
        <v>881</v>
      </c>
      <c r="G10" s="821" t="s">
        <v>882</v>
      </c>
      <c r="H10" s="821" t="s">
        <v>883</v>
      </c>
      <c r="I10" s="821" t="s">
        <v>899</v>
      </c>
      <c r="J10" s="821" t="s">
        <v>885</v>
      </c>
      <c r="K10" s="821" t="s">
        <v>886</v>
      </c>
      <c r="L10" s="821" t="s">
        <v>899</v>
      </c>
      <c r="M10" s="821" t="s">
        <v>887</v>
      </c>
      <c r="N10" s="821" t="s">
        <v>888</v>
      </c>
      <c r="O10" s="821" t="s">
        <v>886</v>
      </c>
      <c r="P10" s="819">
        <v>115060</v>
      </c>
      <c r="Q10" s="820">
        <v>-1150.5999999999999</v>
      </c>
      <c r="R10" t="str">
        <f t="shared" si="0"/>
        <v>201701</v>
      </c>
      <c r="S10" s="405">
        <f>-Q10</f>
        <v>1150.5999999999999</v>
      </c>
      <c r="V10" s="533"/>
    </row>
    <row r="11" spans="1:24">
      <c r="A11" s="821" t="s">
        <v>877</v>
      </c>
      <c r="B11" s="821" t="s">
        <v>878</v>
      </c>
      <c r="C11" s="821" t="s">
        <v>879</v>
      </c>
      <c r="D11" s="821" t="s">
        <v>880</v>
      </c>
      <c r="E11" s="821" t="s">
        <v>880</v>
      </c>
      <c r="F11" s="821" t="s">
        <v>881</v>
      </c>
      <c r="G11" s="821" t="s">
        <v>882</v>
      </c>
      <c r="H11" s="821" t="s">
        <v>883</v>
      </c>
      <c r="I11" s="821" t="s">
        <v>900</v>
      </c>
      <c r="J11" s="821" t="s">
        <v>885</v>
      </c>
      <c r="K11" s="821" t="s">
        <v>886</v>
      </c>
      <c r="L11" s="821" t="s">
        <v>900</v>
      </c>
      <c r="M11" s="821" t="s">
        <v>887</v>
      </c>
      <c r="N11" s="821" t="s">
        <v>886</v>
      </c>
      <c r="O11" s="821" t="s">
        <v>886</v>
      </c>
      <c r="P11" s="819">
        <v>186474</v>
      </c>
      <c r="Q11" s="820">
        <v>1864.74</v>
      </c>
      <c r="R11" t="str">
        <f t="shared" si="0"/>
        <v>201701</v>
      </c>
      <c r="S11" s="405">
        <f>Q11</f>
        <v>1864.74</v>
      </c>
    </row>
    <row r="12" spans="1:24">
      <c r="A12" s="821" t="s">
        <v>877</v>
      </c>
      <c r="B12" s="821" t="s">
        <v>878</v>
      </c>
      <c r="C12" s="821" t="s">
        <v>879</v>
      </c>
      <c r="D12" s="821" t="s">
        <v>880</v>
      </c>
      <c r="E12" s="821" t="s">
        <v>880</v>
      </c>
      <c r="F12" s="821" t="s">
        <v>881</v>
      </c>
      <c r="G12" s="821" t="s">
        <v>882</v>
      </c>
      <c r="H12" s="821" t="s">
        <v>883</v>
      </c>
      <c r="I12" s="821" t="s">
        <v>901</v>
      </c>
      <c r="J12" s="821" t="s">
        <v>885</v>
      </c>
      <c r="K12" s="821" t="s">
        <v>886</v>
      </c>
      <c r="L12" s="821" t="s">
        <v>901</v>
      </c>
      <c r="M12" s="821" t="s">
        <v>887</v>
      </c>
      <c r="N12" s="821" t="s">
        <v>888</v>
      </c>
      <c r="O12" s="821" t="s">
        <v>886</v>
      </c>
      <c r="P12" s="819">
        <v>190492</v>
      </c>
      <c r="Q12" s="820">
        <v>-1904.92</v>
      </c>
      <c r="R12" t="str">
        <f t="shared" si="0"/>
        <v>201701</v>
      </c>
      <c r="S12" s="405">
        <f>-Q12</f>
        <v>1904.92</v>
      </c>
      <c r="T12" t="s">
        <v>1109</v>
      </c>
      <c r="U12" s="827">
        <f>1478504-21142.64</f>
        <v>1457361.36</v>
      </c>
      <c r="W12" s="827">
        <f>1478504-21142.64</f>
        <v>1457361.36</v>
      </c>
    </row>
    <row r="13" spans="1:24">
      <c r="A13" s="821" t="s">
        <v>877</v>
      </c>
      <c r="B13" s="821" t="s">
        <v>878</v>
      </c>
      <c r="C13" s="821" t="s">
        <v>879</v>
      </c>
      <c r="D13" s="821" t="s">
        <v>880</v>
      </c>
      <c r="E13" s="821" t="s">
        <v>880</v>
      </c>
      <c r="F13" s="821" t="s">
        <v>881</v>
      </c>
      <c r="G13" s="821" t="s">
        <v>882</v>
      </c>
      <c r="H13" s="821" t="s">
        <v>883</v>
      </c>
      <c r="I13" s="821" t="s">
        <v>902</v>
      </c>
      <c r="J13" s="821" t="s">
        <v>885</v>
      </c>
      <c r="K13" s="821" t="s">
        <v>886</v>
      </c>
      <c r="L13" s="821" t="s">
        <v>902</v>
      </c>
      <c r="M13" s="821" t="s">
        <v>887</v>
      </c>
      <c r="N13" s="821" t="s">
        <v>886</v>
      </c>
      <c r="O13" s="821" t="s">
        <v>886</v>
      </c>
      <c r="P13" s="819">
        <v>34</v>
      </c>
      <c r="Q13" s="820">
        <v>0.34</v>
      </c>
      <c r="R13" t="str">
        <f t="shared" si="0"/>
        <v>201701</v>
      </c>
      <c r="S13" s="405">
        <f>Q13</f>
        <v>0.34</v>
      </c>
      <c r="T13" t="s">
        <v>1111</v>
      </c>
      <c r="U13" s="533">
        <v>21142.639999999799</v>
      </c>
      <c r="V13" s="405"/>
      <c r="W13" s="533">
        <v>21142.639999999799</v>
      </c>
    </row>
    <row r="14" spans="1:24">
      <c r="A14" s="821" t="s">
        <v>877</v>
      </c>
      <c r="B14" s="821" t="s">
        <v>878</v>
      </c>
      <c r="C14" s="821" t="s">
        <v>879</v>
      </c>
      <c r="D14" s="821" t="s">
        <v>880</v>
      </c>
      <c r="E14" s="821" t="s">
        <v>880</v>
      </c>
      <c r="F14" s="821" t="s">
        <v>881</v>
      </c>
      <c r="G14" s="821" t="s">
        <v>882</v>
      </c>
      <c r="H14" s="821" t="s">
        <v>883</v>
      </c>
      <c r="I14" s="821" t="s">
        <v>902</v>
      </c>
      <c r="J14" s="821" t="s">
        <v>885</v>
      </c>
      <c r="K14" s="821" t="s">
        <v>886</v>
      </c>
      <c r="L14" s="821" t="s">
        <v>902</v>
      </c>
      <c r="M14" s="821" t="s">
        <v>887</v>
      </c>
      <c r="N14" s="821" t="s">
        <v>888</v>
      </c>
      <c r="O14" s="821" t="s">
        <v>886</v>
      </c>
      <c r="P14" s="819">
        <v>96049</v>
      </c>
      <c r="Q14" s="820">
        <v>-960.49</v>
      </c>
      <c r="R14" t="str">
        <f t="shared" si="0"/>
        <v>201701</v>
      </c>
      <c r="S14" s="405">
        <f>-Q14</f>
        <v>960.49</v>
      </c>
      <c r="T14" t="s">
        <v>1110</v>
      </c>
      <c r="U14" s="533">
        <f>GETPIVOTDATA("Importe real",$T$3,"Tipo Mov","0")-V4</f>
        <v>44748683.740000017</v>
      </c>
      <c r="V14" s="533"/>
      <c r="W14" s="533">
        <f>GETPIVOTDATA("Importe real",$T$3,"Tipo Mov","0")+Hoja2!AR19+W28</f>
        <v>44689628.905084245</v>
      </c>
    </row>
    <row r="15" spans="1:24">
      <c r="A15" s="821" t="s">
        <v>877</v>
      </c>
      <c r="B15" s="821" t="s">
        <v>878</v>
      </c>
      <c r="C15" s="821" t="s">
        <v>879</v>
      </c>
      <c r="D15" s="821" t="s">
        <v>880</v>
      </c>
      <c r="E15" s="821" t="s">
        <v>880</v>
      </c>
      <c r="F15" s="821" t="s">
        <v>881</v>
      </c>
      <c r="G15" s="821" t="s">
        <v>882</v>
      </c>
      <c r="H15" s="821" t="s">
        <v>883</v>
      </c>
      <c r="I15" s="821" t="s">
        <v>903</v>
      </c>
      <c r="J15" s="821" t="s">
        <v>885</v>
      </c>
      <c r="K15" s="821" t="s">
        <v>886</v>
      </c>
      <c r="L15" s="821" t="s">
        <v>903</v>
      </c>
      <c r="M15" s="821" t="s">
        <v>887</v>
      </c>
      <c r="N15" s="821" t="s">
        <v>886</v>
      </c>
      <c r="O15" s="821" t="s">
        <v>886</v>
      </c>
      <c r="P15" s="819">
        <v>99475</v>
      </c>
      <c r="Q15" s="820">
        <v>994.75</v>
      </c>
      <c r="R15" t="str">
        <f t="shared" si="0"/>
        <v>201701</v>
      </c>
      <c r="S15" s="405">
        <f>Q15</f>
        <v>994.75</v>
      </c>
      <c r="T15" t="s">
        <v>722</v>
      </c>
      <c r="U15" s="533">
        <f>GETPIVOTDATA("Importe real",$T$3,"Tipo Mov","1")</f>
        <v>-37034292.929999977</v>
      </c>
      <c r="V15" s="533"/>
      <c r="W15" s="829">
        <f>GETPIVOTDATA("Importe real",$T$3,"Tipo Mov","1")-W28</f>
        <v>-36930277.48999998</v>
      </c>
      <c r="X15" t="s">
        <v>1112</v>
      </c>
    </row>
    <row r="16" spans="1:24">
      <c r="A16" s="821" t="s">
        <v>877</v>
      </c>
      <c r="B16" s="821" t="s">
        <v>878</v>
      </c>
      <c r="C16" s="821" t="s">
        <v>879</v>
      </c>
      <c r="D16" s="821" t="s">
        <v>880</v>
      </c>
      <c r="E16" s="821" t="s">
        <v>880</v>
      </c>
      <c r="F16" s="821" t="s">
        <v>881</v>
      </c>
      <c r="G16" s="821" t="s">
        <v>882</v>
      </c>
      <c r="H16" s="821" t="s">
        <v>883</v>
      </c>
      <c r="I16" s="821" t="s">
        <v>903</v>
      </c>
      <c r="J16" s="821" t="s">
        <v>885</v>
      </c>
      <c r="K16" s="821" t="s">
        <v>886</v>
      </c>
      <c r="L16" s="821" t="s">
        <v>903</v>
      </c>
      <c r="M16" s="821" t="s">
        <v>887</v>
      </c>
      <c r="N16" s="821" t="s">
        <v>888</v>
      </c>
      <c r="O16" s="821" t="s">
        <v>886</v>
      </c>
      <c r="P16" s="819">
        <v>68</v>
      </c>
      <c r="Q16" s="820">
        <v>-0.68</v>
      </c>
      <c r="R16" t="str">
        <f t="shared" si="0"/>
        <v>201701</v>
      </c>
      <c r="S16" s="405">
        <f>-Q16</f>
        <v>0.68</v>
      </c>
      <c r="T16" t="s">
        <v>729</v>
      </c>
      <c r="U16" s="533">
        <v>12557.28</v>
      </c>
      <c r="W16" s="533">
        <f>'HT flujo efectivo'!G60</f>
        <v>71809.179999999993</v>
      </c>
    </row>
    <row r="17" spans="1:24">
      <c r="A17" s="821" t="s">
        <v>877</v>
      </c>
      <c r="B17" s="821" t="s">
        <v>878</v>
      </c>
      <c r="C17" s="821" t="s">
        <v>879</v>
      </c>
      <c r="D17" s="821" t="s">
        <v>880</v>
      </c>
      <c r="E17" s="821" t="s">
        <v>880</v>
      </c>
      <c r="F17" s="821" t="s">
        <v>881</v>
      </c>
      <c r="G17" s="821" t="s">
        <v>882</v>
      </c>
      <c r="H17" s="821" t="s">
        <v>883</v>
      </c>
      <c r="I17" s="821" t="s">
        <v>904</v>
      </c>
      <c r="J17" s="821" t="s">
        <v>885</v>
      </c>
      <c r="K17" s="821" t="s">
        <v>886</v>
      </c>
      <c r="L17" s="821" t="s">
        <v>904</v>
      </c>
      <c r="M17" s="821" t="s">
        <v>887</v>
      </c>
      <c r="N17" s="821" t="s">
        <v>888</v>
      </c>
      <c r="O17" s="821" t="s">
        <v>886</v>
      </c>
      <c r="P17" s="819">
        <v>51526</v>
      </c>
      <c r="Q17" s="820">
        <v>-515.26</v>
      </c>
      <c r="R17" t="str">
        <f t="shared" si="0"/>
        <v>201701</v>
      </c>
      <c r="S17" s="405">
        <f>-Q17</f>
        <v>515.26</v>
      </c>
      <c r="T17" t="s">
        <v>731</v>
      </c>
      <c r="U17" s="533">
        <v>47186.15</v>
      </c>
      <c r="V17" s="405"/>
      <c r="W17" s="533">
        <v>0</v>
      </c>
    </row>
    <row r="18" spans="1:24">
      <c r="A18" s="821" t="s">
        <v>877</v>
      </c>
      <c r="B18" s="821" t="s">
        <v>878</v>
      </c>
      <c r="C18" s="821" t="s">
        <v>879</v>
      </c>
      <c r="D18" s="821" t="s">
        <v>880</v>
      </c>
      <c r="E18" s="821" t="s">
        <v>880</v>
      </c>
      <c r="F18" s="821" t="s">
        <v>881</v>
      </c>
      <c r="G18" s="821" t="s">
        <v>882</v>
      </c>
      <c r="H18" s="821" t="s">
        <v>883</v>
      </c>
      <c r="I18" s="821" t="s">
        <v>905</v>
      </c>
      <c r="J18" s="821" t="s">
        <v>885</v>
      </c>
      <c r="K18" s="821" t="s">
        <v>886</v>
      </c>
      <c r="L18" s="821" t="s">
        <v>905</v>
      </c>
      <c r="M18" s="821" t="s">
        <v>887</v>
      </c>
      <c r="N18" s="821" t="s">
        <v>886</v>
      </c>
      <c r="O18" s="821" t="s">
        <v>886</v>
      </c>
      <c r="P18" s="819">
        <v>99423</v>
      </c>
      <c r="Q18" s="820">
        <v>994.23</v>
      </c>
      <c r="R18" t="str">
        <f t="shared" si="0"/>
        <v>201701</v>
      </c>
      <c r="S18" s="405">
        <f>Q18</f>
        <v>994.23</v>
      </c>
      <c r="T18" t="s">
        <v>733</v>
      </c>
      <c r="U18" s="533">
        <v>155851.6</v>
      </c>
      <c r="W18" s="829">
        <f>'[16]HT flujo efectivo'!B67</f>
        <v>163123.02000000002</v>
      </c>
    </row>
    <row r="19" spans="1:24">
      <c r="A19" s="821" t="s">
        <v>877</v>
      </c>
      <c r="B19" s="821" t="s">
        <v>878</v>
      </c>
      <c r="C19" s="821" t="s">
        <v>879</v>
      </c>
      <c r="D19" s="821" t="s">
        <v>880</v>
      </c>
      <c r="E19" s="821" t="s">
        <v>880</v>
      </c>
      <c r="F19" s="821" t="s">
        <v>881</v>
      </c>
      <c r="G19" s="821" t="s">
        <v>882</v>
      </c>
      <c r="H19" s="821" t="s">
        <v>883</v>
      </c>
      <c r="I19" s="821" t="s">
        <v>906</v>
      </c>
      <c r="J19" s="821" t="s">
        <v>885</v>
      </c>
      <c r="K19" s="821" t="s">
        <v>886</v>
      </c>
      <c r="L19" s="821" t="s">
        <v>906</v>
      </c>
      <c r="M19" s="821" t="s">
        <v>887</v>
      </c>
      <c r="N19" s="821" t="s">
        <v>886</v>
      </c>
      <c r="O19" s="821" t="s">
        <v>886</v>
      </c>
      <c r="P19" s="819">
        <v>80975</v>
      </c>
      <c r="Q19" s="820">
        <v>809.75</v>
      </c>
      <c r="R19" t="str">
        <f t="shared" si="0"/>
        <v>201701</v>
      </c>
      <c r="S19" s="405">
        <f>Q19</f>
        <v>809.75</v>
      </c>
      <c r="T19" t="s">
        <v>795</v>
      </c>
      <c r="U19" s="533">
        <v>20588.88</v>
      </c>
      <c r="W19" s="829">
        <v>0</v>
      </c>
    </row>
    <row r="20" spans="1:24">
      <c r="A20" s="821" t="s">
        <v>877</v>
      </c>
      <c r="B20" s="821" t="s">
        <v>878</v>
      </c>
      <c r="C20" s="821" t="s">
        <v>879</v>
      </c>
      <c r="D20" s="821" t="s">
        <v>880</v>
      </c>
      <c r="E20" s="821" t="s">
        <v>880</v>
      </c>
      <c r="F20" s="821" t="s">
        <v>881</v>
      </c>
      <c r="G20" s="821" t="s">
        <v>882</v>
      </c>
      <c r="H20" s="821" t="s">
        <v>883</v>
      </c>
      <c r="I20" s="821" t="s">
        <v>907</v>
      </c>
      <c r="J20" s="821" t="s">
        <v>885</v>
      </c>
      <c r="K20" s="821" t="s">
        <v>886</v>
      </c>
      <c r="L20" s="821" t="s">
        <v>907</v>
      </c>
      <c r="M20" s="821" t="s">
        <v>887</v>
      </c>
      <c r="N20" s="821" t="s">
        <v>888</v>
      </c>
      <c r="O20" s="821" t="s">
        <v>886</v>
      </c>
      <c r="P20" s="819">
        <v>109526</v>
      </c>
      <c r="Q20" s="820">
        <v>-1095.26</v>
      </c>
      <c r="R20" t="str">
        <f t="shared" si="0"/>
        <v>201701</v>
      </c>
      <c r="S20" s="405">
        <f>-Q20</f>
        <v>1095.26</v>
      </c>
      <c r="T20" t="s">
        <v>129</v>
      </c>
      <c r="U20" s="818">
        <v>44103.92</v>
      </c>
      <c r="W20" s="818">
        <f>-Hoja2!AR19</f>
        <v>-856.68508422167542</v>
      </c>
      <c r="X20" t="s">
        <v>1113</v>
      </c>
    </row>
    <row r="21" spans="1:24">
      <c r="A21" s="821" t="s">
        <v>877</v>
      </c>
      <c r="B21" s="821" t="s">
        <v>878</v>
      </c>
      <c r="C21" s="821" t="s">
        <v>879</v>
      </c>
      <c r="D21" s="821" t="s">
        <v>880</v>
      </c>
      <c r="E21" s="821" t="s">
        <v>880</v>
      </c>
      <c r="F21" s="821" t="s">
        <v>881</v>
      </c>
      <c r="G21" s="821" t="s">
        <v>882</v>
      </c>
      <c r="H21" s="821" t="s">
        <v>883</v>
      </c>
      <c r="I21" s="821" t="s">
        <v>908</v>
      </c>
      <c r="J21" s="821" t="s">
        <v>885</v>
      </c>
      <c r="K21" s="821" t="s">
        <v>886</v>
      </c>
      <c r="L21" s="821" t="s">
        <v>908</v>
      </c>
      <c r="M21" s="821" t="s">
        <v>887</v>
      </c>
      <c r="N21" s="821" t="s">
        <v>886</v>
      </c>
      <c r="O21" s="821" t="s">
        <v>886</v>
      </c>
      <c r="P21" s="819">
        <v>196474</v>
      </c>
      <c r="Q21" s="820">
        <v>1964.74</v>
      </c>
      <c r="R21" t="str">
        <f t="shared" si="0"/>
        <v>201701</v>
      </c>
      <c r="S21" s="405">
        <f>Q21</f>
        <v>1964.74</v>
      </c>
      <c r="U21" s="828">
        <f>U12+U14+U15+U16+U17+U18+U19+U20</f>
        <v>9452040.0000000391</v>
      </c>
      <c r="W21" s="828">
        <f>SUM(W12:W20)</f>
        <v>9471930.9300000425</v>
      </c>
    </row>
    <row r="22" spans="1:24">
      <c r="A22" s="821" t="s">
        <v>877</v>
      </c>
      <c r="B22" s="821" t="s">
        <v>878</v>
      </c>
      <c r="C22" s="821" t="s">
        <v>879</v>
      </c>
      <c r="D22" s="821" t="s">
        <v>880</v>
      </c>
      <c r="E22" s="821" t="s">
        <v>880</v>
      </c>
      <c r="F22" s="821" t="s">
        <v>881</v>
      </c>
      <c r="G22" s="821" t="s">
        <v>882</v>
      </c>
      <c r="H22" s="821" t="s">
        <v>883</v>
      </c>
      <c r="I22" s="821" t="s">
        <v>908</v>
      </c>
      <c r="J22" s="821" t="s">
        <v>885</v>
      </c>
      <c r="K22" s="821" t="s">
        <v>886</v>
      </c>
      <c r="L22" s="821" t="s">
        <v>908</v>
      </c>
      <c r="M22" s="821" t="s">
        <v>887</v>
      </c>
      <c r="N22" s="821" t="s">
        <v>888</v>
      </c>
      <c r="O22" s="821" t="s">
        <v>886</v>
      </c>
      <c r="P22" s="819">
        <v>112025</v>
      </c>
      <c r="Q22" s="820">
        <v>-1120.25</v>
      </c>
      <c r="R22" t="str">
        <f t="shared" si="0"/>
        <v>201701</v>
      </c>
      <c r="S22" s="405">
        <f>-Q22</f>
        <v>1120.25</v>
      </c>
      <c r="U22" s="533">
        <v>9452040.0000000075</v>
      </c>
      <c r="W22" s="533">
        <v>9452040.0000000075</v>
      </c>
    </row>
    <row r="23" spans="1:24">
      <c r="A23" s="821" t="s">
        <v>877</v>
      </c>
      <c r="B23" s="821" t="s">
        <v>878</v>
      </c>
      <c r="C23" s="821" t="s">
        <v>879</v>
      </c>
      <c r="D23" s="821" t="s">
        <v>880</v>
      </c>
      <c r="E23" s="821" t="s">
        <v>880</v>
      </c>
      <c r="F23" s="821" t="s">
        <v>881</v>
      </c>
      <c r="G23" s="821" t="s">
        <v>882</v>
      </c>
      <c r="H23" s="821" t="s">
        <v>883</v>
      </c>
      <c r="I23" s="821" t="s">
        <v>908</v>
      </c>
      <c r="J23" s="821" t="s">
        <v>885</v>
      </c>
      <c r="K23" s="821" t="s">
        <v>886</v>
      </c>
      <c r="L23" s="821" t="s">
        <v>908</v>
      </c>
      <c r="M23" s="821" t="s">
        <v>887</v>
      </c>
      <c r="N23" s="821" t="s">
        <v>886</v>
      </c>
      <c r="O23" s="821" t="s">
        <v>886</v>
      </c>
      <c r="P23" s="819">
        <v>300000000</v>
      </c>
      <c r="Q23" s="794">
        <v>3000000</v>
      </c>
      <c r="R23" t="str">
        <f t="shared" si="0"/>
        <v>201701</v>
      </c>
      <c r="S23" s="405">
        <f>Q23</f>
        <v>3000000</v>
      </c>
      <c r="U23" s="405">
        <f>U21-U22</f>
        <v>3.166496753692627E-8</v>
      </c>
      <c r="W23" s="405">
        <f>W21-W22</f>
        <v>19890.930000035092</v>
      </c>
    </row>
    <row r="24" spans="1:24">
      <c r="A24" s="821" t="s">
        <v>877</v>
      </c>
      <c r="B24" s="821" t="s">
        <v>878</v>
      </c>
      <c r="C24" s="821" t="s">
        <v>879</v>
      </c>
      <c r="D24" s="821" t="s">
        <v>880</v>
      </c>
      <c r="E24" s="821" t="s">
        <v>880</v>
      </c>
      <c r="F24" s="821" t="s">
        <v>881</v>
      </c>
      <c r="G24" s="821" t="s">
        <v>882</v>
      </c>
      <c r="H24" s="821" t="s">
        <v>883</v>
      </c>
      <c r="I24" s="821" t="s">
        <v>908</v>
      </c>
      <c r="J24" s="821" t="s">
        <v>885</v>
      </c>
      <c r="K24" s="821" t="s">
        <v>886</v>
      </c>
      <c r="L24" s="821" t="s">
        <v>908</v>
      </c>
      <c r="M24" s="821" t="s">
        <v>887</v>
      </c>
      <c r="N24" s="821" t="s">
        <v>888</v>
      </c>
      <c r="O24" s="821" t="s">
        <v>886</v>
      </c>
      <c r="P24" s="819">
        <v>200000000</v>
      </c>
      <c r="Q24" s="794">
        <v>-2000000</v>
      </c>
      <c r="R24" t="str">
        <f t="shared" si="0"/>
        <v>201701</v>
      </c>
      <c r="S24" s="405">
        <f>-Q24</f>
        <v>2000000</v>
      </c>
    </row>
    <row r="25" spans="1:24">
      <c r="A25" s="821" t="s">
        <v>877</v>
      </c>
      <c r="B25" s="821" t="s">
        <v>878</v>
      </c>
      <c r="C25" s="821" t="s">
        <v>879</v>
      </c>
      <c r="D25" s="821" t="s">
        <v>880</v>
      </c>
      <c r="E25" s="821" t="s">
        <v>880</v>
      </c>
      <c r="F25" s="821" t="s">
        <v>881</v>
      </c>
      <c r="G25" s="821" t="s">
        <v>882</v>
      </c>
      <c r="H25" s="821" t="s">
        <v>883</v>
      </c>
      <c r="I25" s="821" t="s">
        <v>909</v>
      </c>
      <c r="J25" s="821" t="s">
        <v>885</v>
      </c>
      <c r="K25" s="821" t="s">
        <v>886</v>
      </c>
      <c r="L25" s="821" t="s">
        <v>909</v>
      </c>
      <c r="M25" s="821" t="s">
        <v>887</v>
      </c>
      <c r="N25" s="821" t="s">
        <v>886</v>
      </c>
      <c r="O25" s="821" t="s">
        <v>886</v>
      </c>
      <c r="P25" s="819">
        <v>347016</v>
      </c>
      <c r="Q25" s="820">
        <v>3470.16</v>
      </c>
      <c r="R25" t="str">
        <f t="shared" si="0"/>
        <v>201702</v>
      </c>
      <c r="S25" s="405">
        <f>Q25</f>
        <v>3470.16</v>
      </c>
    </row>
    <row r="26" spans="1:24">
      <c r="A26" s="821" t="s">
        <v>877</v>
      </c>
      <c r="B26" s="821" t="s">
        <v>878</v>
      </c>
      <c r="C26" s="821" t="s">
        <v>879</v>
      </c>
      <c r="D26" s="821" t="s">
        <v>880</v>
      </c>
      <c r="E26" s="821" t="s">
        <v>880</v>
      </c>
      <c r="F26" s="821" t="s">
        <v>881</v>
      </c>
      <c r="G26" s="821" t="s">
        <v>882</v>
      </c>
      <c r="H26" s="821" t="s">
        <v>883</v>
      </c>
      <c r="I26" s="821" t="s">
        <v>909</v>
      </c>
      <c r="J26" s="821" t="s">
        <v>885</v>
      </c>
      <c r="K26" s="821" t="s">
        <v>886</v>
      </c>
      <c r="L26" s="821" t="s">
        <v>909</v>
      </c>
      <c r="M26" s="821" t="s">
        <v>887</v>
      </c>
      <c r="N26" s="821" t="s">
        <v>888</v>
      </c>
      <c r="O26" s="821" t="s">
        <v>886</v>
      </c>
      <c r="P26" s="819">
        <v>312384</v>
      </c>
      <c r="Q26" s="820">
        <v>-3123.84</v>
      </c>
      <c r="R26" t="str">
        <f t="shared" si="0"/>
        <v>201702</v>
      </c>
      <c r="S26" s="405">
        <f>-Q26</f>
        <v>3123.84</v>
      </c>
      <c r="T26" s="131" t="s">
        <v>130</v>
      </c>
      <c r="U26" s="133">
        <v>5030108</v>
      </c>
      <c r="V26" s="134" t="s">
        <v>131</v>
      </c>
      <c r="W26" s="875">
        <v>-44103.92</v>
      </c>
    </row>
    <row r="27" spans="1:24">
      <c r="A27" s="821" t="s">
        <v>877</v>
      </c>
      <c r="B27" s="821" t="s">
        <v>878</v>
      </c>
      <c r="C27" s="821" t="s">
        <v>879</v>
      </c>
      <c r="D27" s="821" t="s">
        <v>880</v>
      </c>
      <c r="E27" s="821" t="s">
        <v>880</v>
      </c>
      <c r="F27" s="821" t="s">
        <v>881</v>
      </c>
      <c r="G27" s="821" t="s">
        <v>882</v>
      </c>
      <c r="H27" s="821" t="s">
        <v>883</v>
      </c>
      <c r="I27" s="821" t="s">
        <v>910</v>
      </c>
      <c r="J27" s="821" t="s">
        <v>885</v>
      </c>
      <c r="K27" s="821" t="s">
        <v>886</v>
      </c>
      <c r="L27" s="821" t="s">
        <v>910</v>
      </c>
      <c r="M27" s="821" t="s">
        <v>887</v>
      </c>
      <c r="N27" s="821" t="s">
        <v>886</v>
      </c>
      <c r="O27" s="821" t="s">
        <v>886</v>
      </c>
      <c r="P27" s="819">
        <v>160946</v>
      </c>
      <c r="Q27" s="820">
        <v>1609.46</v>
      </c>
      <c r="R27" t="str">
        <f t="shared" si="0"/>
        <v>201702</v>
      </c>
      <c r="S27" s="405">
        <f>Q27</f>
        <v>1609.46</v>
      </c>
      <c r="T27" s="131" t="s">
        <v>1200</v>
      </c>
      <c r="U27" s="133">
        <v>5020209</v>
      </c>
      <c r="V27" s="134" t="s">
        <v>1201</v>
      </c>
      <c r="W27" s="875">
        <v>0</v>
      </c>
    </row>
    <row r="28" spans="1:24">
      <c r="A28" s="821" t="s">
        <v>877</v>
      </c>
      <c r="B28" s="821" t="s">
        <v>878</v>
      </c>
      <c r="C28" s="821" t="s">
        <v>879</v>
      </c>
      <c r="D28" s="821" t="s">
        <v>880</v>
      </c>
      <c r="E28" s="821" t="s">
        <v>880</v>
      </c>
      <c r="F28" s="821" t="s">
        <v>881</v>
      </c>
      <c r="G28" s="821" t="s">
        <v>882</v>
      </c>
      <c r="H28" s="821" t="s">
        <v>883</v>
      </c>
      <c r="I28" s="821" t="s">
        <v>910</v>
      </c>
      <c r="J28" s="821" t="s">
        <v>885</v>
      </c>
      <c r="K28" s="821" t="s">
        <v>886</v>
      </c>
      <c r="L28" s="821" t="s">
        <v>910</v>
      </c>
      <c r="M28" s="821" t="s">
        <v>887</v>
      </c>
      <c r="N28" s="821" t="s">
        <v>888</v>
      </c>
      <c r="O28" s="821" t="s">
        <v>886</v>
      </c>
      <c r="P28" s="819">
        <v>363688</v>
      </c>
      <c r="Q28" s="820">
        <v>-3636.88</v>
      </c>
      <c r="R28" t="str">
        <f t="shared" si="0"/>
        <v>201702</v>
      </c>
      <c r="S28" s="405">
        <f>-Q28</f>
        <v>3636.88</v>
      </c>
      <c r="T28" s="131" t="s">
        <v>133</v>
      </c>
      <c r="U28" s="133">
        <v>5030102</v>
      </c>
      <c r="V28" s="134" t="s">
        <v>134</v>
      </c>
      <c r="W28" s="875">
        <v>-104015.44</v>
      </c>
    </row>
    <row r="29" spans="1:24">
      <c r="A29" s="821" t="s">
        <v>877</v>
      </c>
      <c r="B29" s="821" t="s">
        <v>878</v>
      </c>
      <c r="C29" s="821" t="s">
        <v>879</v>
      </c>
      <c r="D29" s="821" t="s">
        <v>880</v>
      </c>
      <c r="E29" s="821" t="s">
        <v>880</v>
      </c>
      <c r="F29" s="821" t="s">
        <v>881</v>
      </c>
      <c r="G29" s="821" t="s">
        <v>882</v>
      </c>
      <c r="H29" s="821" t="s">
        <v>883</v>
      </c>
      <c r="I29" s="821" t="s">
        <v>911</v>
      </c>
      <c r="J29" s="821" t="s">
        <v>885</v>
      </c>
      <c r="K29" s="821" t="s">
        <v>886</v>
      </c>
      <c r="L29" s="821" t="s">
        <v>911</v>
      </c>
      <c r="M29" s="821" t="s">
        <v>887</v>
      </c>
      <c r="N29" s="821" t="s">
        <v>886</v>
      </c>
      <c r="O29" s="821" t="s">
        <v>886</v>
      </c>
      <c r="P29" s="819">
        <v>206616</v>
      </c>
      <c r="Q29" s="820">
        <v>2066.16</v>
      </c>
      <c r="R29" t="str">
        <f t="shared" si="0"/>
        <v>201702</v>
      </c>
      <c r="S29" s="405">
        <f>Q29</f>
        <v>2066.16</v>
      </c>
    </row>
    <row r="30" spans="1:24">
      <c r="A30" s="821" t="s">
        <v>877</v>
      </c>
      <c r="B30" s="821" t="s">
        <v>878</v>
      </c>
      <c r="C30" s="821" t="s">
        <v>879</v>
      </c>
      <c r="D30" s="821" t="s">
        <v>880</v>
      </c>
      <c r="E30" s="821" t="s">
        <v>880</v>
      </c>
      <c r="F30" s="821" t="s">
        <v>881</v>
      </c>
      <c r="G30" s="821" t="s">
        <v>882</v>
      </c>
      <c r="H30" s="821" t="s">
        <v>883</v>
      </c>
      <c r="I30" s="821" t="s">
        <v>911</v>
      </c>
      <c r="J30" s="821" t="s">
        <v>885</v>
      </c>
      <c r="K30" s="821" t="s">
        <v>886</v>
      </c>
      <c r="L30" s="821" t="s">
        <v>911</v>
      </c>
      <c r="M30" s="821" t="s">
        <v>887</v>
      </c>
      <c r="N30" s="821" t="s">
        <v>886</v>
      </c>
      <c r="O30" s="821" t="s">
        <v>886</v>
      </c>
      <c r="P30" s="819">
        <v>32</v>
      </c>
      <c r="Q30" s="820">
        <v>0.32</v>
      </c>
      <c r="R30" t="str">
        <f t="shared" si="0"/>
        <v>201702</v>
      </c>
      <c r="S30" s="405">
        <f>Q30</f>
        <v>0.32</v>
      </c>
    </row>
    <row r="31" spans="1:24">
      <c r="A31" s="821" t="s">
        <v>877</v>
      </c>
      <c r="B31" s="821" t="s">
        <v>878</v>
      </c>
      <c r="C31" s="821" t="s">
        <v>879</v>
      </c>
      <c r="D31" s="821" t="s">
        <v>880</v>
      </c>
      <c r="E31" s="821" t="s">
        <v>880</v>
      </c>
      <c r="F31" s="821" t="s">
        <v>881</v>
      </c>
      <c r="G31" s="821" t="s">
        <v>882</v>
      </c>
      <c r="H31" s="821" t="s">
        <v>883</v>
      </c>
      <c r="I31" s="821" t="s">
        <v>912</v>
      </c>
      <c r="J31" s="821" t="s">
        <v>885</v>
      </c>
      <c r="K31" s="821" t="s">
        <v>886</v>
      </c>
      <c r="L31" s="821" t="s">
        <v>912</v>
      </c>
      <c r="M31" s="821" t="s">
        <v>887</v>
      </c>
      <c r="N31" s="821" t="s">
        <v>886</v>
      </c>
      <c r="O31" s="821" t="s">
        <v>886</v>
      </c>
      <c r="P31" s="819">
        <v>88116</v>
      </c>
      <c r="Q31" s="820">
        <v>881.16</v>
      </c>
      <c r="R31" t="str">
        <f t="shared" si="0"/>
        <v>201702</v>
      </c>
      <c r="S31" s="405">
        <f>Q31</f>
        <v>881.16</v>
      </c>
    </row>
    <row r="32" spans="1:24">
      <c r="A32" s="821" t="s">
        <v>877</v>
      </c>
      <c r="B32" s="821" t="s">
        <v>878</v>
      </c>
      <c r="C32" s="821" t="s">
        <v>879</v>
      </c>
      <c r="D32" s="821" t="s">
        <v>880</v>
      </c>
      <c r="E32" s="821" t="s">
        <v>880</v>
      </c>
      <c r="F32" s="821" t="s">
        <v>881</v>
      </c>
      <c r="G32" s="821" t="s">
        <v>882</v>
      </c>
      <c r="H32" s="821" t="s">
        <v>883</v>
      </c>
      <c r="I32" s="821" t="s">
        <v>912</v>
      </c>
      <c r="J32" s="821" t="s">
        <v>885</v>
      </c>
      <c r="K32" s="821" t="s">
        <v>886</v>
      </c>
      <c r="L32" s="821" t="s">
        <v>912</v>
      </c>
      <c r="M32" s="821" t="s">
        <v>887</v>
      </c>
      <c r="N32" s="821" t="s">
        <v>886</v>
      </c>
      <c r="O32" s="821" t="s">
        <v>886</v>
      </c>
      <c r="P32" s="819">
        <v>27348</v>
      </c>
      <c r="Q32" s="820">
        <v>273.48</v>
      </c>
      <c r="R32" t="str">
        <f t="shared" si="0"/>
        <v>201702</v>
      </c>
      <c r="S32" s="405">
        <f>Q32</f>
        <v>273.48</v>
      </c>
    </row>
    <row r="33" spans="1:19">
      <c r="A33" s="821" t="s">
        <v>877</v>
      </c>
      <c r="B33" s="821" t="s">
        <v>878</v>
      </c>
      <c r="C33" s="821" t="s">
        <v>879</v>
      </c>
      <c r="D33" s="821" t="s">
        <v>880</v>
      </c>
      <c r="E33" s="821" t="s">
        <v>880</v>
      </c>
      <c r="F33" s="821" t="s">
        <v>881</v>
      </c>
      <c r="G33" s="821" t="s">
        <v>882</v>
      </c>
      <c r="H33" s="821" t="s">
        <v>883</v>
      </c>
      <c r="I33" s="821" t="s">
        <v>912</v>
      </c>
      <c r="J33" s="821" t="s">
        <v>885</v>
      </c>
      <c r="K33" s="821" t="s">
        <v>886</v>
      </c>
      <c r="L33" s="821" t="s">
        <v>912</v>
      </c>
      <c r="M33" s="821" t="s">
        <v>887</v>
      </c>
      <c r="N33" s="821" t="s">
        <v>888</v>
      </c>
      <c r="O33" s="821" t="s">
        <v>886</v>
      </c>
      <c r="P33" s="819">
        <v>9849371</v>
      </c>
      <c r="Q33" s="820">
        <v>0</v>
      </c>
      <c r="R33" s="821" t="s">
        <v>913</v>
      </c>
      <c r="S33" s="405">
        <f>-Q33</f>
        <v>0</v>
      </c>
    </row>
    <row r="34" spans="1:19">
      <c r="A34" s="821" t="s">
        <v>877</v>
      </c>
      <c r="B34" s="821" t="s">
        <v>878</v>
      </c>
      <c r="C34" s="821" t="s">
        <v>879</v>
      </c>
      <c r="D34" s="821" t="s">
        <v>880</v>
      </c>
      <c r="E34" s="821" t="s">
        <v>880</v>
      </c>
      <c r="F34" s="821" t="s">
        <v>881</v>
      </c>
      <c r="G34" s="821" t="s">
        <v>882</v>
      </c>
      <c r="H34" s="821" t="s">
        <v>883</v>
      </c>
      <c r="I34" s="821" t="s">
        <v>914</v>
      </c>
      <c r="J34" s="821" t="s">
        <v>885</v>
      </c>
      <c r="K34" s="821" t="s">
        <v>886</v>
      </c>
      <c r="L34" s="821" t="s">
        <v>914</v>
      </c>
      <c r="M34" s="821" t="s">
        <v>887</v>
      </c>
      <c r="N34" s="821" t="s">
        <v>886</v>
      </c>
      <c r="O34" s="821" t="s">
        <v>886</v>
      </c>
      <c r="P34" s="819">
        <v>113615</v>
      </c>
      <c r="Q34" s="820">
        <v>1136.1500000000001</v>
      </c>
      <c r="R34" t="str">
        <f t="shared" si="0"/>
        <v>201702</v>
      </c>
      <c r="S34" s="405">
        <f>Q34</f>
        <v>1136.1500000000001</v>
      </c>
    </row>
    <row r="35" spans="1:19">
      <c r="A35" s="821" t="s">
        <v>877</v>
      </c>
      <c r="B35" s="821" t="s">
        <v>878</v>
      </c>
      <c r="C35" s="821" t="s">
        <v>879</v>
      </c>
      <c r="D35" s="821" t="s">
        <v>880</v>
      </c>
      <c r="E35" s="821" t="s">
        <v>880</v>
      </c>
      <c r="F35" s="821" t="s">
        <v>881</v>
      </c>
      <c r="G35" s="821" t="s">
        <v>882</v>
      </c>
      <c r="H35" s="821" t="s">
        <v>883</v>
      </c>
      <c r="I35" s="821" t="s">
        <v>915</v>
      </c>
      <c r="J35" s="821" t="s">
        <v>885</v>
      </c>
      <c r="K35" s="821" t="s">
        <v>886</v>
      </c>
      <c r="L35" s="821" t="s">
        <v>915</v>
      </c>
      <c r="M35" s="821" t="s">
        <v>887</v>
      </c>
      <c r="N35" s="821" t="s">
        <v>888</v>
      </c>
      <c r="O35" s="821" t="s">
        <v>886</v>
      </c>
      <c r="P35" s="819">
        <v>4384</v>
      </c>
      <c r="Q35" s="820">
        <v>-43.84</v>
      </c>
      <c r="R35" t="str">
        <f t="shared" si="0"/>
        <v>201702</v>
      </c>
      <c r="S35" s="405">
        <f>-Q35</f>
        <v>43.84</v>
      </c>
    </row>
    <row r="36" spans="1:19">
      <c r="A36" s="821" t="s">
        <v>877</v>
      </c>
      <c r="B36" s="821" t="s">
        <v>878</v>
      </c>
      <c r="C36" s="821" t="s">
        <v>879</v>
      </c>
      <c r="D36" s="821" t="s">
        <v>880</v>
      </c>
      <c r="E36" s="821" t="s">
        <v>880</v>
      </c>
      <c r="F36" s="821" t="s">
        <v>881</v>
      </c>
      <c r="G36" s="821" t="s">
        <v>882</v>
      </c>
      <c r="H36" s="821" t="s">
        <v>883</v>
      </c>
      <c r="I36" s="821" t="s">
        <v>916</v>
      </c>
      <c r="J36" s="821" t="s">
        <v>885</v>
      </c>
      <c r="K36" s="821" t="s">
        <v>886</v>
      </c>
      <c r="L36" s="821" t="s">
        <v>916</v>
      </c>
      <c r="M36" s="821" t="s">
        <v>887</v>
      </c>
      <c r="N36" s="821" t="s">
        <v>888</v>
      </c>
      <c r="O36" s="821" t="s">
        <v>886</v>
      </c>
      <c r="P36" s="819">
        <v>9884</v>
      </c>
      <c r="Q36" s="820">
        <v>-98.84</v>
      </c>
      <c r="R36" t="str">
        <f t="shared" si="0"/>
        <v>201702</v>
      </c>
      <c r="S36" s="405">
        <f>-Q36</f>
        <v>98.84</v>
      </c>
    </row>
    <row r="37" spans="1:19">
      <c r="A37" s="821" t="s">
        <v>877</v>
      </c>
      <c r="B37" s="821" t="s">
        <v>878</v>
      </c>
      <c r="C37" s="821" t="s">
        <v>879</v>
      </c>
      <c r="D37" s="821" t="s">
        <v>880</v>
      </c>
      <c r="E37" s="821" t="s">
        <v>880</v>
      </c>
      <c r="F37" s="821" t="s">
        <v>881</v>
      </c>
      <c r="G37" s="821" t="s">
        <v>882</v>
      </c>
      <c r="H37" s="821" t="s">
        <v>883</v>
      </c>
      <c r="I37" s="821" t="s">
        <v>916</v>
      </c>
      <c r="J37" s="821" t="s">
        <v>885</v>
      </c>
      <c r="K37" s="821" t="s">
        <v>886</v>
      </c>
      <c r="L37" s="821" t="s">
        <v>916</v>
      </c>
      <c r="M37" s="821" t="s">
        <v>887</v>
      </c>
      <c r="N37" s="821" t="s">
        <v>886</v>
      </c>
      <c r="O37" s="821" t="s">
        <v>886</v>
      </c>
      <c r="P37" s="819">
        <v>9849371</v>
      </c>
      <c r="Q37" s="820">
        <v>0</v>
      </c>
      <c r="R37" s="821" t="s">
        <v>913</v>
      </c>
      <c r="S37" s="405">
        <f>Q37</f>
        <v>0</v>
      </c>
    </row>
    <row r="38" spans="1:19">
      <c r="A38" s="821" t="s">
        <v>877</v>
      </c>
      <c r="B38" s="821" t="s">
        <v>878</v>
      </c>
      <c r="C38" s="821" t="s">
        <v>879</v>
      </c>
      <c r="D38" s="821" t="s">
        <v>880</v>
      </c>
      <c r="E38" s="821" t="s">
        <v>880</v>
      </c>
      <c r="F38" s="821" t="s">
        <v>881</v>
      </c>
      <c r="G38" s="821" t="s">
        <v>882</v>
      </c>
      <c r="H38" s="821" t="s">
        <v>883</v>
      </c>
      <c r="I38" s="821" t="s">
        <v>916</v>
      </c>
      <c r="J38" s="821" t="s">
        <v>885</v>
      </c>
      <c r="K38" s="821" t="s">
        <v>886</v>
      </c>
      <c r="L38" s="821" t="s">
        <v>916</v>
      </c>
      <c r="M38" s="821" t="s">
        <v>887</v>
      </c>
      <c r="N38" s="821" t="s">
        <v>888</v>
      </c>
      <c r="O38" s="821" t="s">
        <v>886</v>
      </c>
      <c r="P38" s="819">
        <v>107384</v>
      </c>
      <c r="Q38" s="820">
        <v>-1073.8399999999999</v>
      </c>
      <c r="R38" t="str">
        <f t="shared" si="0"/>
        <v>201702</v>
      </c>
      <c r="S38" s="405">
        <f>-Q38</f>
        <v>1073.8399999999999</v>
      </c>
    </row>
    <row r="39" spans="1:19">
      <c r="A39" s="821" t="s">
        <v>877</v>
      </c>
      <c r="B39" s="821" t="s">
        <v>878</v>
      </c>
      <c r="C39" s="821" t="s">
        <v>879</v>
      </c>
      <c r="D39" s="821" t="s">
        <v>880</v>
      </c>
      <c r="E39" s="821" t="s">
        <v>880</v>
      </c>
      <c r="F39" s="821" t="s">
        <v>881</v>
      </c>
      <c r="G39" s="821" t="s">
        <v>882</v>
      </c>
      <c r="H39" s="821" t="s">
        <v>883</v>
      </c>
      <c r="I39" s="821" t="s">
        <v>917</v>
      </c>
      <c r="J39" s="821" t="s">
        <v>885</v>
      </c>
      <c r="K39" s="821" t="s">
        <v>886</v>
      </c>
      <c r="L39" s="821" t="s">
        <v>917</v>
      </c>
      <c r="M39" s="821" t="s">
        <v>887</v>
      </c>
      <c r="N39" s="821" t="s">
        <v>886</v>
      </c>
      <c r="O39" s="821" t="s">
        <v>886</v>
      </c>
      <c r="P39" s="819">
        <v>233581</v>
      </c>
      <c r="Q39" s="820">
        <v>2335.81</v>
      </c>
      <c r="R39" t="str">
        <f t="shared" si="0"/>
        <v>201702</v>
      </c>
      <c r="S39" s="405">
        <f>Q39</f>
        <v>2335.81</v>
      </c>
    </row>
    <row r="40" spans="1:19">
      <c r="A40" s="821" t="s">
        <v>877</v>
      </c>
      <c r="B40" s="821" t="s">
        <v>878</v>
      </c>
      <c r="C40" s="821" t="s">
        <v>879</v>
      </c>
      <c r="D40" s="821" t="s">
        <v>880</v>
      </c>
      <c r="E40" s="821" t="s">
        <v>880</v>
      </c>
      <c r="F40" s="821" t="s">
        <v>881</v>
      </c>
      <c r="G40" s="821" t="s">
        <v>882</v>
      </c>
      <c r="H40" s="821" t="s">
        <v>883</v>
      </c>
      <c r="I40" s="821" t="s">
        <v>918</v>
      </c>
      <c r="J40" s="821" t="s">
        <v>885</v>
      </c>
      <c r="K40" s="821" t="s">
        <v>886</v>
      </c>
      <c r="L40" s="821" t="s">
        <v>918</v>
      </c>
      <c r="M40" s="821" t="s">
        <v>887</v>
      </c>
      <c r="N40" s="821" t="s">
        <v>886</v>
      </c>
      <c r="O40" s="821" t="s">
        <v>886</v>
      </c>
      <c r="P40" s="819">
        <v>81963</v>
      </c>
      <c r="Q40" s="820">
        <v>819.63</v>
      </c>
      <c r="R40" t="str">
        <f t="shared" si="0"/>
        <v>201702</v>
      </c>
      <c r="S40" s="405">
        <f>Q40</f>
        <v>819.63</v>
      </c>
    </row>
    <row r="41" spans="1:19">
      <c r="A41" s="821" t="s">
        <v>877</v>
      </c>
      <c r="B41" s="821" t="s">
        <v>878</v>
      </c>
      <c r="C41" s="821" t="s">
        <v>879</v>
      </c>
      <c r="D41" s="821" t="s">
        <v>880</v>
      </c>
      <c r="E41" s="821" t="s">
        <v>880</v>
      </c>
      <c r="F41" s="821" t="s">
        <v>881</v>
      </c>
      <c r="G41" s="821" t="s">
        <v>882</v>
      </c>
      <c r="H41" s="821" t="s">
        <v>883</v>
      </c>
      <c r="I41" s="821" t="s">
        <v>919</v>
      </c>
      <c r="J41" s="821" t="s">
        <v>885</v>
      </c>
      <c r="K41" s="821" t="s">
        <v>886</v>
      </c>
      <c r="L41" s="821" t="s">
        <v>919</v>
      </c>
      <c r="M41" s="821" t="s">
        <v>887</v>
      </c>
      <c r="N41" s="821" t="s">
        <v>886</v>
      </c>
      <c r="O41" s="821" t="s">
        <v>886</v>
      </c>
      <c r="P41" s="819">
        <v>224617</v>
      </c>
      <c r="Q41" s="820">
        <v>2246.17</v>
      </c>
      <c r="R41" t="str">
        <f t="shared" si="0"/>
        <v>201702</v>
      </c>
      <c r="S41" s="405">
        <f>Q41</f>
        <v>2246.17</v>
      </c>
    </row>
    <row r="42" spans="1:19">
      <c r="A42" s="821" t="s">
        <v>877</v>
      </c>
      <c r="B42" s="821" t="s">
        <v>878</v>
      </c>
      <c r="C42" s="821" t="s">
        <v>879</v>
      </c>
      <c r="D42" s="821" t="s">
        <v>880</v>
      </c>
      <c r="E42" s="821" t="s">
        <v>880</v>
      </c>
      <c r="F42" s="821" t="s">
        <v>881</v>
      </c>
      <c r="G42" s="821" t="s">
        <v>882</v>
      </c>
      <c r="H42" s="821" t="s">
        <v>883</v>
      </c>
      <c r="I42" s="821" t="s">
        <v>919</v>
      </c>
      <c r="J42" s="821" t="s">
        <v>885</v>
      </c>
      <c r="K42" s="821" t="s">
        <v>886</v>
      </c>
      <c r="L42" s="821" t="s">
        <v>919</v>
      </c>
      <c r="M42" s="821" t="s">
        <v>887</v>
      </c>
      <c r="N42" s="821" t="s">
        <v>888</v>
      </c>
      <c r="O42" s="821" t="s">
        <v>886</v>
      </c>
      <c r="P42" s="819">
        <v>415884</v>
      </c>
      <c r="Q42" s="820">
        <v>-4158.84</v>
      </c>
      <c r="R42" t="str">
        <f t="shared" si="0"/>
        <v>201702</v>
      </c>
      <c r="S42" s="405">
        <f>-Q42</f>
        <v>4158.84</v>
      </c>
    </row>
    <row r="43" spans="1:19">
      <c r="A43" s="821" t="s">
        <v>877</v>
      </c>
      <c r="B43" s="821" t="s">
        <v>878</v>
      </c>
      <c r="C43" s="821" t="s">
        <v>879</v>
      </c>
      <c r="D43" s="821" t="s">
        <v>880</v>
      </c>
      <c r="E43" s="821" t="s">
        <v>880</v>
      </c>
      <c r="F43" s="821" t="s">
        <v>881</v>
      </c>
      <c r="G43" s="821" t="s">
        <v>882</v>
      </c>
      <c r="H43" s="821" t="s">
        <v>883</v>
      </c>
      <c r="I43" s="821" t="s">
        <v>920</v>
      </c>
      <c r="J43" s="821" t="s">
        <v>885</v>
      </c>
      <c r="K43" s="821" t="s">
        <v>886</v>
      </c>
      <c r="L43" s="821" t="s">
        <v>920</v>
      </c>
      <c r="M43" s="821" t="s">
        <v>887</v>
      </c>
      <c r="N43" s="821" t="s">
        <v>886</v>
      </c>
      <c r="O43" s="821" t="s">
        <v>886</v>
      </c>
      <c r="P43" s="819">
        <v>59632</v>
      </c>
      <c r="Q43" s="820">
        <v>596.32000000000005</v>
      </c>
      <c r="R43" t="str">
        <f t="shared" si="0"/>
        <v>201702</v>
      </c>
      <c r="S43" s="405">
        <f>Q43</f>
        <v>596.32000000000005</v>
      </c>
    </row>
    <row r="44" spans="1:19">
      <c r="A44" s="821" t="s">
        <v>877</v>
      </c>
      <c r="B44" s="821" t="s">
        <v>878</v>
      </c>
      <c r="C44" s="821" t="s">
        <v>879</v>
      </c>
      <c r="D44" s="821" t="s">
        <v>880</v>
      </c>
      <c r="E44" s="821" t="s">
        <v>880</v>
      </c>
      <c r="F44" s="821" t="s">
        <v>881</v>
      </c>
      <c r="G44" s="821" t="s">
        <v>882</v>
      </c>
      <c r="H44" s="821" t="s">
        <v>883</v>
      </c>
      <c r="I44" s="821" t="s">
        <v>920</v>
      </c>
      <c r="J44" s="821" t="s">
        <v>885</v>
      </c>
      <c r="K44" s="821" t="s">
        <v>886</v>
      </c>
      <c r="L44" s="821" t="s">
        <v>920</v>
      </c>
      <c r="M44" s="821" t="s">
        <v>887</v>
      </c>
      <c r="N44" s="821" t="s">
        <v>888</v>
      </c>
      <c r="O44" s="821" t="s">
        <v>886</v>
      </c>
      <c r="P44" s="819">
        <v>49309395</v>
      </c>
      <c r="Q44" s="794">
        <v>-493093.95</v>
      </c>
      <c r="R44" t="str">
        <f t="shared" si="0"/>
        <v>201702</v>
      </c>
      <c r="S44" s="405">
        <f>-Q44</f>
        <v>493093.95</v>
      </c>
    </row>
    <row r="45" spans="1:19">
      <c r="A45" s="821" t="s">
        <v>877</v>
      </c>
      <c r="B45" s="821" t="s">
        <v>878</v>
      </c>
      <c r="C45" s="821" t="s">
        <v>879</v>
      </c>
      <c r="D45" s="821" t="s">
        <v>880</v>
      </c>
      <c r="E45" s="821" t="s">
        <v>880</v>
      </c>
      <c r="F45" s="821" t="s">
        <v>881</v>
      </c>
      <c r="G45" s="821" t="s">
        <v>882</v>
      </c>
      <c r="H45" s="821" t="s">
        <v>883</v>
      </c>
      <c r="I45" s="821" t="s">
        <v>921</v>
      </c>
      <c r="J45" s="821" t="s">
        <v>885</v>
      </c>
      <c r="K45" s="821" t="s">
        <v>886</v>
      </c>
      <c r="L45" s="821" t="s">
        <v>921</v>
      </c>
      <c r="M45" s="821" t="s">
        <v>887</v>
      </c>
      <c r="N45" s="821" t="s">
        <v>886</v>
      </c>
      <c r="O45" s="821" t="s">
        <v>886</v>
      </c>
      <c r="P45" s="819">
        <v>41165</v>
      </c>
      <c r="Q45" s="820">
        <v>411.65</v>
      </c>
      <c r="R45" t="str">
        <f t="shared" si="0"/>
        <v>201703</v>
      </c>
      <c r="S45" s="405">
        <f>Q45</f>
        <v>411.65</v>
      </c>
    </row>
    <row r="46" spans="1:19">
      <c r="A46" s="821" t="s">
        <v>877</v>
      </c>
      <c r="B46" s="821" t="s">
        <v>878</v>
      </c>
      <c r="C46" s="821" t="s">
        <v>879</v>
      </c>
      <c r="D46" s="821" t="s">
        <v>880</v>
      </c>
      <c r="E46" s="821" t="s">
        <v>880</v>
      </c>
      <c r="F46" s="821" t="s">
        <v>881</v>
      </c>
      <c r="G46" s="821" t="s">
        <v>882</v>
      </c>
      <c r="H46" s="821" t="s">
        <v>883</v>
      </c>
      <c r="I46" s="821" t="s">
        <v>921</v>
      </c>
      <c r="J46" s="821" t="s">
        <v>885</v>
      </c>
      <c r="K46" s="821" t="s">
        <v>886</v>
      </c>
      <c r="L46" s="821" t="s">
        <v>921</v>
      </c>
      <c r="M46" s="821" t="s">
        <v>887</v>
      </c>
      <c r="N46" s="821" t="s">
        <v>886</v>
      </c>
      <c r="O46" s="821" t="s">
        <v>886</v>
      </c>
      <c r="P46" s="819">
        <v>62691</v>
      </c>
      <c r="Q46" s="820">
        <v>626.91</v>
      </c>
      <c r="R46" t="str">
        <f t="shared" si="0"/>
        <v>201703</v>
      </c>
      <c r="S46" s="405">
        <f>Q46</f>
        <v>626.91</v>
      </c>
    </row>
    <row r="47" spans="1:19">
      <c r="A47" s="821" t="s">
        <v>877</v>
      </c>
      <c r="B47" s="821" t="s">
        <v>878</v>
      </c>
      <c r="C47" s="821" t="s">
        <v>879</v>
      </c>
      <c r="D47" s="821" t="s">
        <v>880</v>
      </c>
      <c r="E47" s="821" t="s">
        <v>880</v>
      </c>
      <c r="F47" s="821" t="s">
        <v>881</v>
      </c>
      <c r="G47" s="821" t="s">
        <v>882</v>
      </c>
      <c r="H47" s="821" t="s">
        <v>883</v>
      </c>
      <c r="I47" s="821" t="s">
        <v>922</v>
      </c>
      <c r="J47" s="821" t="s">
        <v>885</v>
      </c>
      <c r="K47" s="821" t="s">
        <v>886</v>
      </c>
      <c r="L47" s="821" t="s">
        <v>922</v>
      </c>
      <c r="M47" s="821" t="s">
        <v>887</v>
      </c>
      <c r="N47" s="821" t="s">
        <v>888</v>
      </c>
      <c r="O47" s="821" t="s">
        <v>886</v>
      </c>
      <c r="P47" s="819">
        <v>61760</v>
      </c>
      <c r="Q47" s="820">
        <v>-617.6</v>
      </c>
      <c r="R47" t="str">
        <f t="shared" si="0"/>
        <v>201703</v>
      </c>
      <c r="S47" s="405">
        <f>-Q47</f>
        <v>617.6</v>
      </c>
    </row>
    <row r="48" spans="1:19">
      <c r="A48" s="821" t="s">
        <v>877</v>
      </c>
      <c r="B48" s="821" t="s">
        <v>878</v>
      </c>
      <c r="C48" s="821" t="s">
        <v>879</v>
      </c>
      <c r="D48" s="821" t="s">
        <v>880</v>
      </c>
      <c r="E48" s="821" t="s">
        <v>880</v>
      </c>
      <c r="F48" s="821" t="s">
        <v>881</v>
      </c>
      <c r="G48" s="821" t="s">
        <v>882</v>
      </c>
      <c r="H48" s="821" t="s">
        <v>883</v>
      </c>
      <c r="I48" s="821" t="s">
        <v>923</v>
      </c>
      <c r="J48" s="821" t="s">
        <v>885</v>
      </c>
      <c r="K48" s="821" t="s">
        <v>886</v>
      </c>
      <c r="L48" s="821" t="s">
        <v>923</v>
      </c>
      <c r="M48" s="821" t="s">
        <v>887</v>
      </c>
      <c r="N48" s="821" t="s">
        <v>886</v>
      </c>
      <c r="O48" s="821" t="s">
        <v>886</v>
      </c>
      <c r="P48" s="819">
        <v>184192</v>
      </c>
      <c r="Q48" s="820">
        <v>1841.92</v>
      </c>
      <c r="R48" t="str">
        <f t="shared" si="0"/>
        <v>201703</v>
      </c>
      <c r="S48" s="405">
        <f>Q48</f>
        <v>1841.92</v>
      </c>
    </row>
    <row r="49" spans="1:19">
      <c r="A49" s="821" t="s">
        <v>877</v>
      </c>
      <c r="B49" s="821" t="s">
        <v>878</v>
      </c>
      <c r="C49" s="821" t="s">
        <v>879</v>
      </c>
      <c r="D49" s="821" t="s">
        <v>880</v>
      </c>
      <c r="E49" s="821" t="s">
        <v>880</v>
      </c>
      <c r="F49" s="821" t="s">
        <v>881</v>
      </c>
      <c r="G49" s="821" t="s">
        <v>882</v>
      </c>
      <c r="H49" s="821" t="s">
        <v>883</v>
      </c>
      <c r="I49" s="821" t="s">
        <v>924</v>
      </c>
      <c r="J49" s="821" t="s">
        <v>885</v>
      </c>
      <c r="K49" s="821" t="s">
        <v>886</v>
      </c>
      <c r="L49" s="821" t="s">
        <v>924</v>
      </c>
      <c r="M49" s="821" t="s">
        <v>887</v>
      </c>
      <c r="N49" s="821" t="s">
        <v>886</v>
      </c>
      <c r="O49" s="821" t="s">
        <v>886</v>
      </c>
      <c r="P49" s="819">
        <v>136039</v>
      </c>
      <c r="Q49" s="820">
        <v>1360.39</v>
      </c>
      <c r="R49" t="str">
        <f t="shared" si="0"/>
        <v>201703</v>
      </c>
      <c r="S49" s="405">
        <f>Q49</f>
        <v>1360.39</v>
      </c>
    </row>
    <row r="50" spans="1:19">
      <c r="A50" s="821" t="s">
        <v>877</v>
      </c>
      <c r="B50" s="821" t="s">
        <v>878</v>
      </c>
      <c r="C50" s="821" t="s">
        <v>879</v>
      </c>
      <c r="D50" s="821" t="s">
        <v>880</v>
      </c>
      <c r="E50" s="821" t="s">
        <v>880</v>
      </c>
      <c r="F50" s="821" t="s">
        <v>881</v>
      </c>
      <c r="G50" s="821" t="s">
        <v>882</v>
      </c>
      <c r="H50" s="821" t="s">
        <v>883</v>
      </c>
      <c r="I50" s="821" t="s">
        <v>925</v>
      </c>
      <c r="J50" s="821" t="s">
        <v>885</v>
      </c>
      <c r="K50" s="821" t="s">
        <v>886</v>
      </c>
      <c r="L50" s="821" t="s">
        <v>925</v>
      </c>
      <c r="M50" s="821" t="s">
        <v>887</v>
      </c>
      <c r="N50" s="821" t="s">
        <v>888</v>
      </c>
      <c r="O50" s="821" t="s">
        <v>886</v>
      </c>
      <c r="P50" s="819">
        <v>105307</v>
      </c>
      <c r="Q50" s="820">
        <v>-1053.07</v>
      </c>
      <c r="R50" t="str">
        <f t="shared" si="0"/>
        <v>201703</v>
      </c>
      <c r="S50" s="405">
        <f>-Q50</f>
        <v>1053.07</v>
      </c>
    </row>
    <row r="51" spans="1:19">
      <c r="A51" s="821" t="s">
        <v>877</v>
      </c>
      <c r="B51" s="821" t="s">
        <v>878</v>
      </c>
      <c r="C51" s="821" t="s">
        <v>879</v>
      </c>
      <c r="D51" s="821" t="s">
        <v>880</v>
      </c>
      <c r="E51" s="821" t="s">
        <v>880</v>
      </c>
      <c r="F51" s="821" t="s">
        <v>881</v>
      </c>
      <c r="G51" s="821" t="s">
        <v>882</v>
      </c>
      <c r="H51" s="821" t="s">
        <v>883</v>
      </c>
      <c r="I51" s="821" t="s">
        <v>925</v>
      </c>
      <c r="J51" s="821" t="s">
        <v>885</v>
      </c>
      <c r="K51" s="821" t="s">
        <v>886</v>
      </c>
      <c r="L51" s="821" t="s">
        <v>925</v>
      </c>
      <c r="M51" s="821" t="s">
        <v>887</v>
      </c>
      <c r="N51" s="821" t="s">
        <v>888</v>
      </c>
      <c r="O51" s="821" t="s">
        <v>886</v>
      </c>
      <c r="P51" s="819">
        <v>54461</v>
      </c>
      <c r="Q51" s="820">
        <v>-544.61</v>
      </c>
      <c r="R51" t="str">
        <f t="shared" si="0"/>
        <v>201703</v>
      </c>
      <c r="S51" s="405">
        <f>-Q51</f>
        <v>544.61</v>
      </c>
    </row>
    <row r="52" spans="1:19">
      <c r="A52" s="821" t="s">
        <v>877</v>
      </c>
      <c r="B52" s="821" t="s">
        <v>878</v>
      </c>
      <c r="C52" s="821" t="s">
        <v>879</v>
      </c>
      <c r="D52" s="821" t="s">
        <v>880</v>
      </c>
      <c r="E52" s="821" t="s">
        <v>880</v>
      </c>
      <c r="F52" s="821" t="s">
        <v>881</v>
      </c>
      <c r="G52" s="821" t="s">
        <v>882</v>
      </c>
      <c r="H52" s="821" t="s">
        <v>883</v>
      </c>
      <c r="I52" s="821" t="s">
        <v>926</v>
      </c>
      <c r="J52" s="821" t="s">
        <v>885</v>
      </c>
      <c r="K52" s="821" t="s">
        <v>886</v>
      </c>
      <c r="L52" s="821" t="s">
        <v>926</v>
      </c>
      <c r="M52" s="821" t="s">
        <v>887</v>
      </c>
      <c r="N52" s="821" t="s">
        <v>888</v>
      </c>
      <c r="O52" s="821" t="s">
        <v>886</v>
      </c>
      <c r="P52" s="819">
        <v>46307</v>
      </c>
      <c r="Q52" s="820">
        <v>-463.07</v>
      </c>
      <c r="R52" t="str">
        <f t="shared" si="0"/>
        <v>201703</v>
      </c>
      <c r="S52" s="405">
        <f>-Q52</f>
        <v>463.07</v>
      </c>
    </row>
    <row r="53" spans="1:19">
      <c r="A53" s="821" t="s">
        <v>877</v>
      </c>
      <c r="B53" s="821" t="s">
        <v>878</v>
      </c>
      <c r="C53" s="821" t="s">
        <v>879</v>
      </c>
      <c r="D53" s="821" t="s">
        <v>880</v>
      </c>
      <c r="E53" s="821" t="s">
        <v>880</v>
      </c>
      <c r="F53" s="821" t="s">
        <v>881</v>
      </c>
      <c r="G53" s="821" t="s">
        <v>882</v>
      </c>
      <c r="H53" s="821" t="s">
        <v>883</v>
      </c>
      <c r="I53" s="821" t="s">
        <v>927</v>
      </c>
      <c r="J53" s="821" t="s">
        <v>885</v>
      </c>
      <c r="K53" s="821" t="s">
        <v>886</v>
      </c>
      <c r="L53" s="821" t="s">
        <v>927</v>
      </c>
      <c r="M53" s="821" t="s">
        <v>887</v>
      </c>
      <c r="N53" s="821" t="s">
        <v>886</v>
      </c>
      <c r="O53" s="821" t="s">
        <v>886</v>
      </c>
      <c r="P53" s="819">
        <v>27192</v>
      </c>
      <c r="Q53" s="820">
        <v>271.92</v>
      </c>
      <c r="R53" t="str">
        <f t="shared" si="0"/>
        <v>201703</v>
      </c>
      <c r="S53" s="405">
        <f>Q53</f>
        <v>271.92</v>
      </c>
    </row>
    <row r="54" spans="1:19">
      <c r="A54" s="821" t="s">
        <v>877</v>
      </c>
      <c r="B54" s="821" t="s">
        <v>878</v>
      </c>
      <c r="C54" s="821" t="s">
        <v>879</v>
      </c>
      <c r="D54" s="821" t="s">
        <v>880</v>
      </c>
      <c r="E54" s="821" t="s">
        <v>880</v>
      </c>
      <c r="F54" s="821" t="s">
        <v>881</v>
      </c>
      <c r="G54" s="821" t="s">
        <v>882</v>
      </c>
      <c r="H54" s="821" t="s">
        <v>883</v>
      </c>
      <c r="I54" s="821" t="s">
        <v>928</v>
      </c>
      <c r="J54" s="821" t="s">
        <v>885</v>
      </c>
      <c r="K54" s="821" t="s">
        <v>886</v>
      </c>
      <c r="L54" s="821" t="s">
        <v>928</v>
      </c>
      <c r="M54" s="821" t="s">
        <v>887</v>
      </c>
      <c r="N54" s="821" t="s">
        <v>888</v>
      </c>
      <c r="O54" s="821" t="s">
        <v>886</v>
      </c>
      <c r="P54" s="819">
        <v>107807</v>
      </c>
      <c r="Q54" s="820">
        <v>-1078.07</v>
      </c>
      <c r="R54" t="str">
        <f t="shared" si="0"/>
        <v>201703</v>
      </c>
      <c r="S54" s="405">
        <f>-Q54</f>
        <v>1078.07</v>
      </c>
    </row>
    <row r="55" spans="1:19">
      <c r="A55" s="821" t="s">
        <v>877</v>
      </c>
      <c r="B55" s="821" t="s">
        <v>878</v>
      </c>
      <c r="C55" s="821" t="s">
        <v>879</v>
      </c>
      <c r="D55" s="821" t="s">
        <v>880</v>
      </c>
      <c r="E55" s="821" t="s">
        <v>880</v>
      </c>
      <c r="F55" s="821" t="s">
        <v>881</v>
      </c>
      <c r="G55" s="821" t="s">
        <v>882</v>
      </c>
      <c r="H55" s="821" t="s">
        <v>883</v>
      </c>
      <c r="I55" s="821" t="s">
        <v>929</v>
      </c>
      <c r="J55" s="821" t="s">
        <v>885</v>
      </c>
      <c r="K55" s="821" t="s">
        <v>886</v>
      </c>
      <c r="L55" s="821" t="s">
        <v>929</v>
      </c>
      <c r="M55" s="821" t="s">
        <v>887</v>
      </c>
      <c r="N55" s="821" t="s">
        <v>886</v>
      </c>
      <c r="O55" s="821" t="s">
        <v>886</v>
      </c>
      <c r="P55" s="819">
        <v>49692</v>
      </c>
      <c r="Q55" s="820">
        <v>496.92</v>
      </c>
      <c r="R55" t="str">
        <f t="shared" si="0"/>
        <v>201703</v>
      </c>
      <c r="S55" s="405">
        <f>Q55</f>
        <v>496.92</v>
      </c>
    </row>
    <row r="56" spans="1:19">
      <c r="A56" s="821" t="s">
        <v>877</v>
      </c>
      <c r="B56" s="821" t="s">
        <v>878</v>
      </c>
      <c r="C56" s="821" t="s">
        <v>879</v>
      </c>
      <c r="D56" s="821" t="s">
        <v>880</v>
      </c>
      <c r="E56" s="821" t="s">
        <v>880</v>
      </c>
      <c r="F56" s="821" t="s">
        <v>881</v>
      </c>
      <c r="G56" s="821" t="s">
        <v>882</v>
      </c>
      <c r="H56" s="821" t="s">
        <v>883</v>
      </c>
      <c r="I56" s="821" t="s">
        <v>930</v>
      </c>
      <c r="J56" s="821" t="s">
        <v>885</v>
      </c>
      <c r="K56" s="821" t="s">
        <v>886</v>
      </c>
      <c r="L56" s="821" t="s">
        <v>930</v>
      </c>
      <c r="M56" s="821" t="s">
        <v>887</v>
      </c>
      <c r="N56" s="821" t="s">
        <v>886</v>
      </c>
      <c r="O56" s="821" t="s">
        <v>886</v>
      </c>
      <c r="P56" s="819">
        <v>72693</v>
      </c>
      <c r="Q56" s="820">
        <v>726.93</v>
      </c>
      <c r="R56" t="str">
        <f t="shared" si="0"/>
        <v>201703</v>
      </c>
      <c r="S56" s="405">
        <f>Q56</f>
        <v>726.93</v>
      </c>
    </row>
    <row r="57" spans="1:19">
      <c r="A57" s="821" t="s">
        <v>877</v>
      </c>
      <c r="B57" s="821" t="s">
        <v>878</v>
      </c>
      <c r="C57" s="821" t="s">
        <v>879</v>
      </c>
      <c r="D57" s="821" t="s">
        <v>880</v>
      </c>
      <c r="E57" s="821" t="s">
        <v>880</v>
      </c>
      <c r="F57" s="821" t="s">
        <v>881</v>
      </c>
      <c r="G57" s="821" t="s">
        <v>882</v>
      </c>
      <c r="H57" s="821" t="s">
        <v>883</v>
      </c>
      <c r="I57" s="821" t="s">
        <v>931</v>
      </c>
      <c r="J57" s="821" t="s">
        <v>885</v>
      </c>
      <c r="K57" s="821" t="s">
        <v>886</v>
      </c>
      <c r="L57" s="821" t="s">
        <v>931</v>
      </c>
      <c r="M57" s="821" t="s">
        <v>887</v>
      </c>
      <c r="N57" s="821" t="s">
        <v>886</v>
      </c>
      <c r="O57" s="821" t="s">
        <v>886</v>
      </c>
      <c r="P57" s="819">
        <v>95692</v>
      </c>
      <c r="Q57" s="820">
        <v>956.92</v>
      </c>
      <c r="R57" t="str">
        <f t="shared" si="0"/>
        <v>201703</v>
      </c>
      <c r="S57" s="405">
        <f>Q57</f>
        <v>956.92</v>
      </c>
    </row>
    <row r="58" spans="1:19">
      <c r="A58" s="821" t="s">
        <v>877</v>
      </c>
      <c r="B58" s="821" t="s">
        <v>878</v>
      </c>
      <c r="C58" s="821" t="s">
        <v>879</v>
      </c>
      <c r="D58" s="821" t="s">
        <v>880</v>
      </c>
      <c r="E58" s="821" t="s">
        <v>880</v>
      </c>
      <c r="F58" s="821" t="s">
        <v>881</v>
      </c>
      <c r="G58" s="821" t="s">
        <v>882</v>
      </c>
      <c r="H58" s="821" t="s">
        <v>883</v>
      </c>
      <c r="I58" s="821" t="s">
        <v>932</v>
      </c>
      <c r="J58" s="821" t="s">
        <v>885</v>
      </c>
      <c r="K58" s="821" t="s">
        <v>886</v>
      </c>
      <c r="L58" s="821" t="s">
        <v>932</v>
      </c>
      <c r="M58" s="821" t="s">
        <v>887</v>
      </c>
      <c r="N58" s="821" t="s">
        <v>888</v>
      </c>
      <c r="O58" s="821" t="s">
        <v>886</v>
      </c>
      <c r="P58" s="819">
        <v>181308</v>
      </c>
      <c r="Q58" s="820">
        <v>-1813.08</v>
      </c>
      <c r="R58" t="str">
        <f t="shared" si="0"/>
        <v>201703</v>
      </c>
      <c r="S58" s="405">
        <f>-Q58</f>
        <v>1813.08</v>
      </c>
    </row>
    <row r="59" spans="1:19">
      <c r="A59" s="821" t="s">
        <v>877</v>
      </c>
      <c r="B59" s="821" t="s">
        <v>878</v>
      </c>
      <c r="C59" s="821" t="s">
        <v>879</v>
      </c>
      <c r="D59" s="821" t="s">
        <v>880</v>
      </c>
      <c r="E59" s="821" t="s">
        <v>880</v>
      </c>
      <c r="F59" s="821" t="s">
        <v>881</v>
      </c>
      <c r="G59" s="821" t="s">
        <v>882</v>
      </c>
      <c r="H59" s="821" t="s">
        <v>883</v>
      </c>
      <c r="I59" s="821" t="s">
        <v>933</v>
      </c>
      <c r="J59" s="821" t="s">
        <v>885</v>
      </c>
      <c r="K59" s="821" t="s">
        <v>886</v>
      </c>
      <c r="L59" s="821" t="s">
        <v>933</v>
      </c>
      <c r="M59" s="821" t="s">
        <v>887</v>
      </c>
      <c r="N59" s="821" t="s">
        <v>886</v>
      </c>
      <c r="O59" s="821" t="s">
        <v>886</v>
      </c>
      <c r="P59" s="819">
        <v>214192</v>
      </c>
      <c r="Q59" s="820">
        <v>2141.92</v>
      </c>
      <c r="R59" t="str">
        <f t="shared" si="0"/>
        <v>201703</v>
      </c>
      <c r="S59" s="405">
        <f>Q59</f>
        <v>2141.92</v>
      </c>
    </row>
    <row r="60" spans="1:19">
      <c r="A60" s="821" t="s">
        <v>877</v>
      </c>
      <c r="B60" s="821" t="s">
        <v>878</v>
      </c>
      <c r="C60" s="821" t="s">
        <v>879</v>
      </c>
      <c r="D60" s="821" t="s">
        <v>880</v>
      </c>
      <c r="E60" s="821" t="s">
        <v>880</v>
      </c>
      <c r="F60" s="821" t="s">
        <v>881</v>
      </c>
      <c r="G60" s="821" t="s">
        <v>882</v>
      </c>
      <c r="H60" s="821" t="s">
        <v>883</v>
      </c>
      <c r="I60" s="821" t="s">
        <v>933</v>
      </c>
      <c r="J60" s="821" t="s">
        <v>885</v>
      </c>
      <c r="K60" s="821" t="s">
        <v>886</v>
      </c>
      <c r="L60" s="821" t="s">
        <v>933</v>
      </c>
      <c r="M60" s="821" t="s">
        <v>887</v>
      </c>
      <c r="N60" s="821" t="s">
        <v>888</v>
      </c>
      <c r="O60" s="821" t="s">
        <v>886</v>
      </c>
      <c r="P60" s="819">
        <v>57078</v>
      </c>
      <c r="Q60" s="820">
        <v>-570.78</v>
      </c>
      <c r="R60" t="str">
        <f t="shared" si="0"/>
        <v>201703</v>
      </c>
      <c r="S60" s="405">
        <f>-Q60</f>
        <v>570.78</v>
      </c>
    </row>
    <row r="61" spans="1:19">
      <c r="A61" s="821" t="s">
        <v>877</v>
      </c>
      <c r="B61" s="821" t="s">
        <v>878</v>
      </c>
      <c r="C61" s="821" t="s">
        <v>879</v>
      </c>
      <c r="D61" s="821" t="s">
        <v>880</v>
      </c>
      <c r="E61" s="821" t="s">
        <v>880</v>
      </c>
      <c r="F61" s="821" t="s">
        <v>881</v>
      </c>
      <c r="G61" s="821" t="s">
        <v>882</v>
      </c>
      <c r="H61" s="821" t="s">
        <v>883</v>
      </c>
      <c r="I61" s="821" t="s">
        <v>934</v>
      </c>
      <c r="J61" s="821" t="s">
        <v>885</v>
      </c>
      <c r="K61" s="821" t="s">
        <v>886</v>
      </c>
      <c r="L61" s="821" t="s">
        <v>934</v>
      </c>
      <c r="M61" s="821" t="s">
        <v>887</v>
      </c>
      <c r="N61" s="821" t="s">
        <v>886</v>
      </c>
      <c r="O61" s="821" t="s">
        <v>886</v>
      </c>
      <c r="P61" s="819">
        <v>114156</v>
      </c>
      <c r="Q61" s="820">
        <v>1141.56</v>
      </c>
      <c r="R61" t="str">
        <f t="shared" si="0"/>
        <v>201703</v>
      </c>
      <c r="S61" s="405">
        <f>Q61</f>
        <v>1141.56</v>
      </c>
    </row>
    <row r="62" spans="1:19">
      <c r="A62" s="821" t="s">
        <v>877</v>
      </c>
      <c r="B62" s="821" t="s">
        <v>878</v>
      </c>
      <c r="C62" s="821" t="s">
        <v>879</v>
      </c>
      <c r="D62" s="821" t="s">
        <v>880</v>
      </c>
      <c r="E62" s="821" t="s">
        <v>880</v>
      </c>
      <c r="F62" s="821" t="s">
        <v>881</v>
      </c>
      <c r="G62" s="821" t="s">
        <v>882</v>
      </c>
      <c r="H62" s="821" t="s">
        <v>883</v>
      </c>
      <c r="I62" s="821" t="s">
        <v>934</v>
      </c>
      <c r="J62" s="821" t="s">
        <v>885</v>
      </c>
      <c r="K62" s="821" t="s">
        <v>886</v>
      </c>
      <c r="L62" s="821" t="s">
        <v>934</v>
      </c>
      <c r="M62" s="821" t="s">
        <v>887</v>
      </c>
      <c r="N62" s="821" t="s">
        <v>888</v>
      </c>
      <c r="O62" s="821" t="s">
        <v>886</v>
      </c>
      <c r="P62" s="819">
        <v>163308</v>
      </c>
      <c r="Q62" s="820">
        <v>-1633.08</v>
      </c>
      <c r="R62" t="str">
        <f t="shared" si="0"/>
        <v>201703</v>
      </c>
      <c r="S62" s="405">
        <f>-Q62</f>
        <v>1633.08</v>
      </c>
    </row>
    <row r="63" spans="1:19">
      <c r="A63" s="821" t="s">
        <v>877</v>
      </c>
      <c r="B63" s="821" t="s">
        <v>878</v>
      </c>
      <c r="C63" s="821" t="s">
        <v>879</v>
      </c>
      <c r="D63" s="821" t="s">
        <v>880</v>
      </c>
      <c r="E63" s="821" t="s">
        <v>880</v>
      </c>
      <c r="F63" s="821" t="s">
        <v>881</v>
      </c>
      <c r="G63" s="821" t="s">
        <v>882</v>
      </c>
      <c r="H63" s="821" t="s">
        <v>883</v>
      </c>
      <c r="I63" s="821" t="s">
        <v>935</v>
      </c>
      <c r="J63" s="821" t="s">
        <v>885</v>
      </c>
      <c r="K63" s="821" t="s">
        <v>886</v>
      </c>
      <c r="L63" s="821" t="s">
        <v>935</v>
      </c>
      <c r="M63" s="821" t="s">
        <v>887</v>
      </c>
      <c r="N63" s="821" t="s">
        <v>888</v>
      </c>
      <c r="O63" s="821" t="s">
        <v>886</v>
      </c>
      <c r="P63" s="819">
        <v>138308</v>
      </c>
      <c r="Q63" s="820">
        <v>-1383.08</v>
      </c>
      <c r="R63" t="str">
        <f t="shared" si="0"/>
        <v>201703</v>
      </c>
      <c r="S63" s="405">
        <f>-Q63</f>
        <v>1383.08</v>
      </c>
    </row>
    <row r="64" spans="1:19">
      <c r="A64" s="821" t="s">
        <v>877</v>
      </c>
      <c r="B64" s="821" t="s">
        <v>878</v>
      </c>
      <c r="C64" s="821" t="s">
        <v>879</v>
      </c>
      <c r="D64" s="821" t="s">
        <v>880</v>
      </c>
      <c r="E64" s="821" t="s">
        <v>880</v>
      </c>
      <c r="F64" s="821" t="s">
        <v>881</v>
      </c>
      <c r="G64" s="821" t="s">
        <v>882</v>
      </c>
      <c r="H64" s="821" t="s">
        <v>883</v>
      </c>
      <c r="I64" s="821" t="s">
        <v>936</v>
      </c>
      <c r="J64" s="821" t="s">
        <v>885</v>
      </c>
      <c r="K64" s="821" t="s">
        <v>886</v>
      </c>
      <c r="L64" s="821" t="s">
        <v>936</v>
      </c>
      <c r="M64" s="821" t="s">
        <v>887</v>
      </c>
      <c r="N64" s="821" t="s">
        <v>886</v>
      </c>
      <c r="O64" s="821" t="s">
        <v>886</v>
      </c>
      <c r="P64" s="819">
        <v>77725</v>
      </c>
      <c r="Q64" s="820">
        <v>777.25</v>
      </c>
      <c r="R64" t="str">
        <f t="shared" si="0"/>
        <v>201703</v>
      </c>
      <c r="S64" s="405">
        <f>Q64</f>
        <v>777.25</v>
      </c>
    </row>
    <row r="65" spans="1:19">
      <c r="A65" s="821" t="s">
        <v>877</v>
      </c>
      <c r="B65" s="821" t="s">
        <v>878</v>
      </c>
      <c r="C65" s="821" t="s">
        <v>879</v>
      </c>
      <c r="D65" s="821" t="s">
        <v>880</v>
      </c>
      <c r="E65" s="821" t="s">
        <v>880</v>
      </c>
      <c r="F65" s="821" t="s">
        <v>881</v>
      </c>
      <c r="G65" s="821" t="s">
        <v>882</v>
      </c>
      <c r="H65" s="821" t="s">
        <v>883</v>
      </c>
      <c r="I65" s="821" t="s">
        <v>937</v>
      </c>
      <c r="J65" s="821" t="s">
        <v>885</v>
      </c>
      <c r="K65" s="821" t="s">
        <v>886</v>
      </c>
      <c r="L65" s="821" t="s">
        <v>937</v>
      </c>
      <c r="M65" s="821" t="s">
        <v>887</v>
      </c>
      <c r="N65" s="821" t="s">
        <v>886</v>
      </c>
      <c r="O65" s="821" t="s">
        <v>886</v>
      </c>
      <c r="P65" s="819">
        <v>209192</v>
      </c>
      <c r="Q65" s="820">
        <v>2091.92</v>
      </c>
      <c r="R65" t="str">
        <f t="shared" si="0"/>
        <v>201703</v>
      </c>
      <c r="S65" s="405">
        <f>Q65</f>
        <v>2091.92</v>
      </c>
    </row>
    <row r="66" spans="1:19">
      <c r="A66" s="821" t="s">
        <v>877</v>
      </c>
      <c r="B66" s="821" t="s">
        <v>878</v>
      </c>
      <c r="C66" s="821" t="s">
        <v>879</v>
      </c>
      <c r="D66" s="821" t="s">
        <v>880</v>
      </c>
      <c r="E66" s="821" t="s">
        <v>880</v>
      </c>
      <c r="F66" s="821" t="s">
        <v>881</v>
      </c>
      <c r="G66" s="821" t="s">
        <v>882</v>
      </c>
      <c r="H66" s="821" t="s">
        <v>883</v>
      </c>
      <c r="I66" s="821" t="s">
        <v>938</v>
      </c>
      <c r="J66" s="821" t="s">
        <v>885</v>
      </c>
      <c r="K66" s="821" t="s">
        <v>886</v>
      </c>
      <c r="L66" s="821" t="s">
        <v>938</v>
      </c>
      <c r="M66" s="821" t="s">
        <v>887</v>
      </c>
      <c r="N66" s="821" t="s">
        <v>886</v>
      </c>
      <c r="O66" s="821" t="s">
        <v>886</v>
      </c>
      <c r="P66" s="819">
        <v>87546</v>
      </c>
      <c r="Q66" s="820">
        <v>875.46</v>
      </c>
      <c r="R66" t="str">
        <f t="shared" si="0"/>
        <v>201703</v>
      </c>
      <c r="S66" s="405">
        <f>Q66</f>
        <v>875.46</v>
      </c>
    </row>
    <row r="67" spans="1:19">
      <c r="A67" s="821" t="s">
        <v>877</v>
      </c>
      <c r="B67" s="821" t="s">
        <v>878</v>
      </c>
      <c r="C67" s="821" t="s">
        <v>879</v>
      </c>
      <c r="D67" s="821" t="s">
        <v>880</v>
      </c>
      <c r="E67" s="821" t="s">
        <v>880</v>
      </c>
      <c r="F67" s="821" t="s">
        <v>881</v>
      </c>
      <c r="G67" s="821" t="s">
        <v>882</v>
      </c>
      <c r="H67" s="821" t="s">
        <v>883</v>
      </c>
      <c r="I67" s="821" t="s">
        <v>939</v>
      </c>
      <c r="J67" s="821" t="s">
        <v>885</v>
      </c>
      <c r="K67" s="821" t="s">
        <v>886</v>
      </c>
      <c r="L67" s="821" t="s">
        <v>939</v>
      </c>
      <c r="M67" s="821" t="s">
        <v>887</v>
      </c>
      <c r="N67" s="821" t="s">
        <v>888</v>
      </c>
      <c r="O67" s="821" t="s">
        <v>886</v>
      </c>
      <c r="P67" s="819">
        <v>121808</v>
      </c>
      <c r="Q67" s="820">
        <v>-1218.08</v>
      </c>
      <c r="R67" t="str">
        <f t="shared" ref="R67:R130" si="1">MID(L67,1,6)</f>
        <v>201703</v>
      </c>
      <c r="S67" s="405">
        <f>-Q67</f>
        <v>1218.08</v>
      </c>
    </row>
    <row r="68" spans="1:19">
      <c r="A68" s="821" t="s">
        <v>877</v>
      </c>
      <c r="B68" s="821" t="s">
        <v>878</v>
      </c>
      <c r="C68" s="821" t="s">
        <v>879</v>
      </c>
      <c r="D68" s="821" t="s">
        <v>880</v>
      </c>
      <c r="E68" s="821" t="s">
        <v>880</v>
      </c>
      <c r="F68" s="821" t="s">
        <v>881</v>
      </c>
      <c r="G68" s="821" t="s">
        <v>882</v>
      </c>
      <c r="H68" s="821" t="s">
        <v>883</v>
      </c>
      <c r="I68" s="821" t="s">
        <v>940</v>
      </c>
      <c r="J68" s="821" t="s">
        <v>885</v>
      </c>
      <c r="K68" s="821" t="s">
        <v>886</v>
      </c>
      <c r="L68" s="821" t="s">
        <v>940</v>
      </c>
      <c r="M68" s="821" t="s">
        <v>887</v>
      </c>
      <c r="N68" s="821" t="s">
        <v>886</v>
      </c>
      <c r="O68" s="821" t="s">
        <v>886</v>
      </c>
      <c r="P68" s="819">
        <v>5807</v>
      </c>
      <c r="Q68" s="820">
        <v>58.07</v>
      </c>
      <c r="R68" t="str">
        <f t="shared" si="1"/>
        <v>201703</v>
      </c>
      <c r="S68" s="405">
        <f>Q68</f>
        <v>58.07</v>
      </c>
    </row>
    <row r="69" spans="1:19">
      <c r="A69" s="821" t="s">
        <v>877</v>
      </c>
      <c r="B69" s="821" t="s">
        <v>878</v>
      </c>
      <c r="C69" s="821" t="s">
        <v>879</v>
      </c>
      <c r="D69" s="821" t="s">
        <v>880</v>
      </c>
      <c r="E69" s="821" t="s">
        <v>880</v>
      </c>
      <c r="F69" s="821" t="s">
        <v>881</v>
      </c>
      <c r="G69" s="821" t="s">
        <v>882</v>
      </c>
      <c r="H69" s="821" t="s">
        <v>883</v>
      </c>
      <c r="I69" s="821" t="s">
        <v>924</v>
      </c>
      <c r="J69" s="821" t="s">
        <v>885</v>
      </c>
      <c r="K69" s="821" t="s">
        <v>886</v>
      </c>
      <c r="L69" s="821" t="s">
        <v>924</v>
      </c>
      <c r="M69" s="821" t="s">
        <v>887</v>
      </c>
      <c r="N69" s="821" t="s">
        <v>886</v>
      </c>
      <c r="O69" s="821" t="s">
        <v>886</v>
      </c>
      <c r="P69" s="819">
        <v>54461</v>
      </c>
      <c r="Q69" s="820">
        <v>544.61</v>
      </c>
      <c r="R69" t="str">
        <f t="shared" si="1"/>
        <v>201703</v>
      </c>
      <c r="S69" s="405">
        <f>Q69</f>
        <v>544.61</v>
      </c>
    </row>
    <row r="70" spans="1:19">
      <c r="A70" s="821" t="s">
        <v>877</v>
      </c>
      <c r="B70" s="821" t="s">
        <v>878</v>
      </c>
      <c r="C70" s="821" t="s">
        <v>879</v>
      </c>
      <c r="D70" s="821" t="s">
        <v>880</v>
      </c>
      <c r="E70" s="821" t="s">
        <v>880</v>
      </c>
      <c r="F70" s="821" t="s">
        <v>881</v>
      </c>
      <c r="G70" s="821" t="s">
        <v>882</v>
      </c>
      <c r="H70" s="821" t="s">
        <v>883</v>
      </c>
      <c r="I70" s="821" t="s">
        <v>941</v>
      </c>
      <c r="J70" s="821" t="s">
        <v>885</v>
      </c>
      <c r="K70" s="821" t="s">
        <v>886</v>
      </c>
      <c r="L70" s="821" t="s">
        <v>941</v>
      </c>
      <c r="M70" s="821" t="s">
        <v>887</v>
      </c>
      <c r="N70" s="821" t="s">
        <v>886</v>
      </c>
      <c r="O70" s="821" t="s">
        <v>886</v>
      </c>
      <c r="P70" s="819">
        <v>169693</v>
      </c>
      <c r="Q70" s="820">
        <v>1696.93</v>
      </c>
      <c r="R70" t="str">
        <f t="shared" si="1"/>
        <v>201704</v>
      </c>
      <c r="S70" s="405">
        <f>Q70</f>
        <v>1696.93</v>
      </c>
    </row>
    <row r="71" spans="1:19">
      <c r="A71" s="821" t="s">
        <v>877</v>
      </c>
      <c r="B71" s="821" t="s">
        <v>878</v>
      </c>
      <c r="C71" s="821" t="s">
        <v>879</v>
      </c>
      <c r="D71" s="821" t="s">
        <v>880</v>
      </c>
      <c r="E71" s="821" t="s">
        <v>880</v>
      </c>
      <c r="F71" s="821" t="s">
        <v>881</v>
      </c>
      <c r="G71" s="821" t="s">
        <v>882</v>
      </c>
      <c r="H71" s="821" t="s">
        <v>883</v>
      </c>
      <c r="I71" s="821" t="s">
        <v>942</v>
      </c>
      <c r="J71" s="821" t="s">
        <v>885</v>
      </c>
      <c r="K71" s="821" t="s">
        <v>886</v>
      </c>
      <c r="L71" s="821" t="s">
        <v>942</v>
      </c>
      <c r="M71" s="821" t="s">
        <v>887</v>
      </c>
      <c r="N71" s="821" t="s">
        <v>886</v>
      </c>
      <c r="O71" s="821" t="s">
        <v>886</v>
      </c>
      <c r="P71" s="819">
        <v>50000000</v>
      </c>
      <c r="Q71" s="794">
        <v>500000</v>
      </c>
      <c r="R71" t="str">
        <f t="shared" si="1"/>
        <v>201704</v>
      </c>
      <c r="S71" s="405">
        <f>Q71</f>
        <v>500000</v>
      </c>
    </row>
    <row r="72" spans="1:19">
      <c r="A72" s="821" t="s">
        <v>877</v>
      </c>
      <c r="B72" s="821" t="s">
        <v>878</v>
      </c>
      <c r="C72" s="821" t="s">
        <v>879</v>
      </c>
      <c r="D72" s="821" t="s">
        <v>880</v>
      </c>
      <c r="E72" s="821" t="s">
        <v>880</v>
      </c>
      <c r="F72" s="821" t="s">
        <v>881</v>
      </c>
      <c r="G72" s="821" t="s">
        <v>882</v>
      </c>
      <c r="H72" s="821" t="s">
        <v>883</v>
      </c>
      <c r="I72" s="821" t="s">
        <v>942</v>
      </c>
      <c r="J72" s="821" t="s">
        <v>885</v>
      </c>
      <c r="K72" s="821" t="s">
        <v>886</v>
      </c>
      <c r="L72" s="821" t="s">
        <v>942</v>
      </c>
      <c r="M72" s="821" t="s">
        <v>887</v>
      </c>
      <c r="N72" s="821" t="s">
        <v>888</v>
      </c>
      <c r="O72" s="821" t="s">
        <v>886</v>
      </c>
      <c r="P72" s="819">
        <v>99808</v>
      </c>
      <c r="Q72" s="820">
        <v>-998.08</v>
      </c>
      <c r="R72" t="str">
        <f t="shared" si="1"/>
        <v>201704</v>
      </c>
      <c r="S72" s="405">
        <f>-Q72</f>
        <v>998.08</v>
      </c>
    </row>
    <row r="73" spans="1:19">
      <c r="A73" s="821" t="s">
        <v>877</v>
      </c>
      <c r="B73" s="821" t="s">
        <v>878</v>
      </c>
      <c r="C73" s="821" t="s">
        <v>879</v>
      </c>
      <c r="D73" s="821" t="s">
        <v>880</v>
      </c>
      <c r="E73" s="821" t="s">
        <v>880</v>
      </c>
      <c r="F73" s="821" t="s">
        <v>881</v>
      </c>
      <c r="G73" s="821" t="s">
        <v>882</v>
      </c>
      <c r="H73" s="821" t="s">
        <v>883</v>
      </c>
      <c r="I73" s="821" t="s">
        <v>943</v>
      </c>
      <c r="J73" s="821" t="s">
        <v>885</v>
      </c>
      <c r="K73" s="821" t="s">
        <v>886</v>
      </c>
      <c r="L73" s="821" t="s">
        <v>943</v>
      </c>
      <c r="M73" s="821" t="s">
        <v>887</v>
      </c>
      <c r="N73" s="821" t="s">
        <v>886</v>
      </c>
      <c r="O73" s="821" t="s">
        <v>886</v>
      </c>
      <c r="P73" s="819">
        <v>103868</v>
      </c>
      <c r="Q73" s="820">
        <v>1038.68</v>
      </c>
      <c r="R73" t="str">
        <f t="shared" si="1"/>
        <v>201704</v>
      </c>
      <c r="S73" s="405">
        <f>Q73</f>
        <v>1038.68</v>
      </c>
    </row>
    <row r="74" spans="1:19">
      <c r="A74" s="821" t="s">
        <v>877</v>
      </c>
      <c r="B74" s="821" t="s">
        <v>878</v>
      </c>
      <c r="C74" s="821" t="s">
        <v>879</v>
      </c>
      <c r="D74" s="821" t="s">
        <v>880</v>
      </c>
      <c r="E74" s="821" t="s">
        <v>880</v>
      </c>
      <c r="F74" s="821" t="s">
        <v>881</v>
      </c>
      <c r="G74" s="821" t="s">
        <v>882</v>
      </c>
      <c r="H74" s="821" t="s">
        <v>883</v>
      </c>
      <c r="I74" s="821" t="s">
        <v>943</v>
      </c>
      <c r="J74" s="821" t="s">
        <v>885</v>
      </c>
      <c r="K74" s="821" t="s">
        <v>886</v>
      </c>
      <c r="L74" s="821" t="s">
        <v>943</v>
      </c>
      <c r="M74" s="821" t="s">
        <v>887</v>
      </c>
      <c r="N74" s="821" t="s">
        <v>886</v>
      </c>
      <c r="O74" s="821" t="s">
        <v>886</v>
      </c>
      <c r="P74" s="819">
        <v>15000000</v>
      </c>
      <c r="Q74" s="823"/>
      <c r="R74" t="str">
        <f t="shared" si="1"/>
        <v>201704</v>
      </c>
      <c r="S74" s="405">
        <f>Q74</f>
        <v>0</v>
      </c>
    </row>
    <row r="75" spans="1:19">
      <c r="A75" s="821" t="s">
        <v>877</v>
      </c>
      <c r="B75" s="821" t="s">
        <v>878</v>
      </c>
      <c r="C75" s="821" t="s">
        <v>879</v>
      </c>
      <c r="D75" s="821" t="s">
        <v>880</v>
      </c>
      <c r="E75" s="821" t="s">
        <v>880</v>
      </c>
      <c r="F75" s="821" t="s">
        <v>881</v>
      </c>
      <c r="G75" s="821" t="s">
        <v>882</v>
      </c>
      <c r="H75" s="821" t="s">
        <v>883</v>
      </c>
      <c r="I75" s="821" t="s">
        <v>943</v>
      </c>
      <c r="J75" s="821" t="s">
        <v>885</v>
      </c>
      <c r="K75" s="821" t="s">
        <v>886</v>
      </c>
      <c r="L75" s="821" t="s">
        <v>943</v>
      </c>
      <c r="M75" s="821" t="s">
        <v>887</v>
      </c>
      <c r="N75" s="821" t="s">
        <v>888</v>
      </c>
      <c r="O75" s="821" t="s">
        <v>886</v>
      </c>
      <c r="P75" s="819">
        <v>50944</v>
      </c>
      <c r="Q75" s="820">
        <v>-509.44</v>
      </c>
      <c r="R75" t="str">
        <f t="shared" si="1"/>
        <v>201704</v>
      </c>
      <c r="S75" s="405">
        <f>-Q75</f>
        <v>509.44</v>
      </c>
    </row>
    <row r="76" spans="1:19">
      <c r="A76" s="821" t="s">
        <v>877</v>
      </c>
      <c r="B76" s="821" t="s">
        <v>878</v>
      </c>
      <c r="C76" s="821" t="s">
        <v>879</v>
      </c>
      <c r="D76" s="821" t="s">
        <v>880</v>
      </c>
      <c r="E76" s="821" t="s">
        <v>880</v>
      </c>
      <c r="F76" s="821" t="s">
        <v>881</v>
      </c>
      <c r="G76" s="821" t="s">
        <v>882</v>
      </c>
      <c r="H76" s="821" t="s">
        <v>883</v>
      </c>
      <c r="I76" s="821" t="s">
        <v>944</v>
      </c>
      <c r="J76" s="821" t="s">
        <v>885</v>
      </c>
      <c r="K76" s="821" t="s">
        <v>886</v>
      </c>
      <c r="L76" s="821" t="s">
        <v>944</v>
      </c>
      <c r="M76" s="821" t="s">
        <v>887</v>
      </c>
      <c r="N76" s="821" t="s">
        <v>886</v>
      </c>
      <c r="O76" s="821" t="s">
        <v>886</v>
      </c>
      <c r="P76" s="819">
        <v>332846</v>
      </c>
      <c r="Q76" s="820">
        <v>3328.46</v>
      </c>
      <c r="R76" t="str">
        <f t="shared" si="1"/>
        <v>201704</v>
      </c>
      <c r="S76" s="405">
        <f>Q76</f>
        <v>3328.46</v>
      </c>
    </row>
    <row r="77" spans="1:19">
      <c r="A77" s="821" t="s">
        <v>877</v>
      </c>
      <c r="B77" s="821" t="s">
        <v>878</v>
      </c>
      <c r="C77" s="821" t="s">
        <v>879</v>
      </c>
      <c r="D77" s="821" t="s">
        <v>880</v>
      </c>
      <c r="E77" s="821" t="s">
        <v>880</v>
      </c>
      <c r="F77" s="821" t="s">
        <v>881</v>
      </c>
      <c r="G77" s="821" t="s">
        <v>882</v>
      </c>
      <c r="H77" s="821" t="s">
        <v>883</v>
      </c>
      <c r="I77" s="821" t="s">
        <v>944</v>
      </c>
      <c r="J77" s="821" t="s">
        <v>885</v>
      </c>
      <c r="K77" s="821" t="s">
        <v>886</v>
      </c>
      <c r="L77" s="821" t="s">
        <v>944</v>
      </c>
      <c r="M77" s="821" t="s">
        <v>887</v>
      </c>
      <c r="N77" s="821" t="s">
        <v>888</v>
      </c>
      <c r="O77" s="821" t="s">
        <v>886</v>
      </c>
      <c r="P77" s="819">
        <v>15000000</v>
      </c>
      <c r="Q77" s="823"/>
      <c r="R77" t="str">
        <f t="shared" si="1"/>
        <v>201704</v>
      </c>
      <c r="S77" s="405">
        <f>-Q77</f>
        <v>0</v>
      </c>
    </row>
    <row r="78" spans="1:19">
      <c r="A78" s="821" t="s">
        <v>877</v>
      </c>
      <c r="B78" s="821" t="s">
        <v>878</v>
      </c>
      <c r="C78" s="821" t="s">
        <v>879</v>
      </c>
      <c r="D78" s="821" t="s">
        <v>880</v>
      </c>
      <c r="E78" s="821" t="s">
        <v>880</v>
      </c>
      <c r="F78" s="821" t="s">
        <v>881</v>
      </c>
      <c r="G78" s="821" t="s">
        <v>882</v>
      </c>
      <c r="H78" s="821" t="s">
        <v>883</v>
      </c>
      <c r="I78" s="821" t="s">
        <v>944</v>
      </c>
      <c r="J78" s="821" t="s">
        <v>885</v>
      </c>
      <c r="K78" s="821" t="s">
        <v>886</v>
      </c>
      <c r="L78" s="821" t="s">
        <v>944</v>
      </c>
      <c r="M78" s="821" t="s">
        <v>887</v>
      </c>
      <c r="N78" s="821" t="s">
        <v>888</v>
      </c>
      <c r="O78" s="821" t="s">
        <v>886</v>
      </c>
      <c r="P78" s="819">
        <v>100402824</v>
      </c>
      <c r="Q78" s="794">
        <v>-1004028.24</v>
      </c>
      <c r="R78" t="str">
        <f t="shared" si="1"/>
        <v>201704</v>
      </c>
      <c r="S78" s="405">
        <f>-Q78</f>
        <v>1004028.24</v>
      </c>
    </row>
    <row r="79" spans="1:19">
      <c r="A79" s="821" t="s">
        <v>877</v>
      </c>
      <c r="B79" s="821" t="s">
        <v>878</v>
      </c>
      <c r="C79" s="821" t="s">
        <v>879</v>
      </c>
      <c r="D79" s="821" t="s">
        <v>880</v>
      </c>
      <c r="E79" s="821" t="s">
        <v>880</v>
      </c>
      <c r="F79" s="821" t="s">
        <v>881</v>
      </c>
      <c r="G79" s="821" t="s">
        <v>882</v>
      </c>
      <c r="H79" s="821" t="s">
        <v>883</v>
      </c>
      <c r="I79" s="821" t="s">
        <v>945</v>
      </c>
      <c r="J79" s="821" t="s">
        <v>885</v>
      </c>
      <c r="K79" s="821" t="s">
        <v>886</v>
      </c>
      <c r="L79" s="821" t="s">
        <v>945</v>
      </c>
      <c r="M79" s="821" t="s">
        <v>887</v>
      </c>
      <c r="N79" s="821" t="s">
        <v>888</v>
      </c>
      <c r="O79" s="821" t="s">
        <v>886</v>
      </c>
      <c r="P79" s="819">
        <v>120621</v>
      </c>
      <c r="Q79" s="820">
        <v>-1206.21</v>
      </c>
      <c r="R79" t="str">
        <f t="shared" si="1"/>
        <v>201704</v>
      </c>
      <c r="S79" s="405">
        <f>-Q79</f>
        <v>1206.21</v>
      </c>
    </row>
    <row r="80" spans="1:19">
      <c r="A80" s="821" t="s">
        <v>877</v>
      </c>
      <c r="B80" s="821" t="s">
        <v>878</v>
      </c>
      <c r="C80" s="821" t="s">
        <v>879</v>
      </c>
      <c r="D80" s="821" t="s">
        <v>880</v>
      </c>
      <c r="E80" s="821" t="s">
        <v>880</v>
      </c>
      <c r="F80" s="821" t="s">
        <v>881</v>
      </c>
      <c r="G80" s="821" t="s">
        <v>882</v>
      </c>
      <c r="H80" s="821" t="s">
        <v>883</v>
      </c>
      <c r="I80" s="821" t="s">
        <v>946</v>
      </c>
      <c r="J80" s="821" t="s">
        <v>885</v>
      </c>
      <c r="K80" s="821" t="s">
        <v>886</v>
      </c>
      <c r="L80" s="821" t="s">
        <v>946</v>
      </c>
      <c r="M80" s="821" t="s">
        <v>887</v>
      </c>
      <c r="N80" s="821" t="s">
        <v>886</v>
      </c>
      <c r="O80" s="821" t="s">
        <v>886</v>
      </c>
      <c r="P80" s="819">
        <v>80380</v>
      </c>
      <c r="Q80" s="820">
        <v>803.8</v>
      </c>
      <c r="R80" t="str">
        <f t="shared" si="1"/>
        <v>201704</v>
      </c>
      <c r="S80" s="405">
        <f>Q80</f>
        <v>803.8</v>
      </c>
    </row>
    <row r="81" spans="1:19">
      <c r="A81" s="821" t="s">
        <v>877</v>
      </c>
      <c r="B81" s="821" t="s">
        <v>878</v>
      </c>
      <c r="C81" s="821" t="s">
        <v>879</v>
      </c>
      <c r="D81" s="821" t="s">
        <v>880</v>
      </c>
      <c r="E81" s="821" t="s">
        <v>880</v>
      </c>
      <c r="F81" s="821" t="s">
        <v>881</v>
      </c>
      <c r="G81" s="821" t="s">
        <v>882</v>
      </c>
      <c r="H81" s="821" t="s">
        <v>883</v>
      </c>
      <c r="I81" s="821" t="s">
        <v>947</v>
      </c>
      <c r="J81" s="821" t="s">
        <v>885</v>
      </c>
      <c r="K81" s="821" t="s">
        <v>886</v>
      </c>
      <c r="L81" s="821" t="s">
        <v>947</v>
      </c>
      <c r="M81" s="821" t="s">
        <v>887</v>
      </c>
      <c r="N81" s="821" t="s">
        <v>886</v>
      </c>
      <c r="O81" s="821" t="s">
        <v>886</v>
      </c>
      <c r="P81" s="819">
        <v>207820</v>
      </c>
      <c r="Q81" s="820">
        <v>2078.1999999999998</v>
      </c>
      <c r="R81" t="str">
        <f t="shared" si="1"/>
        <v>201704</v>
      </c>
      <c r="S81" s="405">
        <f>Q81</f>
        <v>2078.1999999999998</v>
      </c>
    </row>
    <row r="82" spans="1:19">
      <c r="A82" s="821" t="s">
        <v>877</v>
      </c>
      <c r="B82" s="821" t="s">
        <v>878</v>
      </c>
      <c r="C82" s="821" t="s">
        <v>879</v>
      </c>
      <c r="D82" s="821" t="s">
        <v>880</v>
      </c>
      <c r="E82" s="821" t="s">
        <v>880</v>
      </c>
      <c r="F82" s="821" t="s">
        <v>881</v>
      </c>
      <c r="G82" s="821" t="s">
        <v>882</v>
      </c>
      <c r="H82" s="821" t="s">
        <v>883</v>
      </c>
      <c r="I82" s="821" t="s">
        <v>948</v>
      </c>
      <c r="J82" s="821" t="s">
        <v>885</v>
      </c>
      <c r="K82" s="821" t="s">
        <v>886</v>
      </c>
      <c r="L82" s="821" t="s">
        <v>948</v>
      </c>
      <c r="M82" s="821" t="s">
        <v>887</v>
      </c>
      <c r="N82" s="821" t="s">
        <v>886</v>
      </c>
      <c r="O82" s="821" t="s">
        <v>886</v>
      </c>
      <c r="P82" s="819">
        <v>52880</v>
      </c>
      <c r="Q82" s="820">
        <v>528.79999999999995</v>
      </c>
      <c r="R82" t="str">
        <f t="shared" si="1"/>
        <v>201704</v>
      </c>
      <c r="S82" s="405">
        <f>Q82</f>
        <v>528.79999999999995</v>
      </c>
    </row>
    <row r="83" spans="1:19">
      <c r="A83" s="821" t="s">
        <v>877</v>
      </c>
      <c r="B83" s="821" t="s">
        <v>878</v>
      </c>
      <c r="C83" s="821" t="s">
        <v>879</v>
      </c>
      <c r="D83" s="821" t="s">
        <v>880</v>
      </c>
      <c r="E83" s="821" t="s">
        <v>880</v>
      </c>
      <c r="F83" s="821" t="s">
        <v>881</v>
      </c>
      <c r="G83" s="821" t="s">
        <v>882</v>
      </c>
      <c r="H83" s="821" t="s">
        <v>883</v>
      </c>
      <c r="I83" s="821" t="s">
        <v>948</v>
      </c>
      <c r="J83" s="821" t="s">
        <v>885</v>
      </c>
      <c r="K83" s="821" t="s">
        <v>886</v>
      </c>
      <c r="L83" s="821" t="s">
        <v>948</v>
      </c>
      <c r="M83" s="821" t="s">
        <v>887</v>
      </c>
      <c r="N83" s="821" t="s">
        <v>888</v>
      </c>
      <c r="O83" s="821" t="s">
        <v>886</v>
      </c>
      <c r="P83" s="819">
        <v>15922</v>
      </c>
      <c r="Q83" s="820">
        <v>-159.22</v>
      </c>
      <c r="R83" t="str">
        <f t="shared" si="1"/>
        <v>201704</v>
      </c>
      <c r="S83" s="405">
        <f>-Q83</f>
        <v>159.22</v>
      </c>
    </row>
    <row r="84" spans="1:19">
      <c r="A84" s="821" t="s">
        <v>877</v>
      </c>
      <c r="B84" s="821" t="s">
        <v>878</v>
      </c>
      <c r="C84" s="821" t="s">
        <v>879</v>
      </c>
      <c r="D84" s="821" t="s">
        <v>880</v>
      </c>
      <c r="E84" s="821" t="s">
        <v>880</v>
      </c>
      <c r="F84" s="821" t="s">
        <v>881</v>
      </c>
      <c r="G84" s="821" t="s">
        <v>882</v>
      </c>
      <c r="H84" s="821" t="s">
        <v>883</v>
      </c>
      <c r="I84" s="821" t="s">
        <v>949</v>
      </c>
      <c r="J84" s="821" t="s">
        <v>885</v>
      </c>
      <c r="K84" s="821" t="s">
        <v>886</v>
      </c>
      <c r="L84" s="821" t="s">
        <v>949</v>
      </c>
      <c r="M84" s="821" t="s">
        <v>887</v>
      </c>
      <c r="N84" s="821" t="s">
        <v>886</v>
      </c>
      <c r="O84" s="821" t="s">
        <v>886</v>
      </c>
      <c r="P84" s="819">
        <v>80019</v>
      </c>
      <c r="Q84" s="820">
        <v>800.19</v>
      </c>
      <c r="R84" t="str">
        <f t="shared" si="1"/>
        <v>201704</v>
      </c>
      <c r="S84" s="405">
        <f>Q84</f>
        <v>800.19</v>
      </c>
    </row>
    <row r="85" spans="1:19">
      <c r="A85" s="821" t="s">
        <v>877</v>
      </c>
      <c r="B85" s="821" t="s">
        <v>878</v>
      </c>
      <c r="C85" s="821" t="s">
        <v>879</v>
      </c>
      <c r="D85" s="821" t="s">
        <v>880</v>
      </c>
      <c r="E85" s="821" t="s">
        <v>880</v>
      </c>
      <c r="F85" s="821" t="s">
        <v>881</v>
      </c>
      <c r="G85" s="821" t="s">
        <v>882</v>
      </c>
      <c r="H85" s="821" t="s">
        <v>883</v>
      </c>
      <c r="I85" s="821" t="s">
        <v>949</v>
      </c>
      <c r="J85" s="821" t="s">
        <v>885</v>
      </c>
      <c r="K85" s="821" t="s">
        <v>886</v>
      </c>
      <c r="L85" s="821" t="s">
        <v>949</v>
      </c>
      <c r="M85" s="821" t="s">
        <v>887</v>
      </c>
      <c r="N85" s="821" t="s">
        <v>888</v>
      </c>
      <c r="O85" s="821" t="s">
        <v>886</v>
      </c>
      <c r="P85" s="819">
        <v>216120</v>
      </c>
      <c r="Q85" s="820">
        <v>-2161.1999999999998</v>
      </c>
      <c r="R85" t="str">
        <f t="shared" si="1"/>
        <v>201704</v>
      </c>
      <c r="S85" s="405">
        <f>-Q85</f>
        <v>2161.1999999999998</v>
      </c>
    </row>
    <row r="86" spans="1:19">
      <c r="A86" s="821" t="s">
        <v>877</v>
      </c>
      <c r="B86" s="821" t="s">
        <v>878</v>
      </c>
      <c r="C86" s="821" t="s">
        <v>879</v>
      </c>
      <c r="D86" s="821" t="s">
        <v>880</v>
      </c>
      <c r="E86" s="821" t="s">
        <v>880</v>
      </c>
      <c r="F86" s="821" t="s">
        <v>881</v>
      </c>
      <c r="G86" s="821" t="s">
        <v>882</v>
      </c>
      <c r="H86" s="821" t="s">
        <v>883</v>
      </c>
      <c r="I86" s="821" t="s">
        <v>950</v>
      </c>
      <c r="J86" s="821" t="s">
        <v>885</v>
      </c>
      <c r="K86" s="821" t="s">
        <v>886</v>
      </c>
      <c r="L86" s="821" t="s">
        <v>950</v>
      </c>
      <c r="M86" s="821" t="s">
        <v>887</v>
      </c>
      <c r="N86" s="821" t="s">
        <v>886</v>
      </c>
      <c r="O86" s="821" t="s">
        <v>886</v>
      </c>
      <c r="P86" s="819">
        <v>145380</v>
      </c>
      <c r="Q86" s="820">
        <v>1453.8</v>
      </c>
      <c r="R86" t="str">
        <f t="shared" si="1"/>
        <v>201704</v>
      </c>
      <c r="S86" s="405">
        <f>Q86</f>
        <v>1453.8</v>
      </c>
    </row>
    <row r="87" spans="1:19">
      <c r="A87" s="821" t="s">
        <v>877</v>
      </c>
      <c r="B87" s="821" t="s">
        <v>878</v>
      </c>
      <c r="C87" s="821" t="s">
        <v>879</v>
      </c>
      <c r="D87" s="821" t="s">
        <v>880</v>
      </c>
      <c r="E87" s="821" t="s">
        <v>880</v>
      </c>
      <c r="F87" s="821" t="s">
        <v>881</v>
      </c>
      <c r="G87" s="821" t="s">
        <v>882</v>
      </c>
      <c r="H87" s="821" t="s">
        <v>883</v>
      </c>
      <c r="I87" s="821" t="s">
        <v>951</v>
      </c>
      <c r="J87" s="821" t="s">
        <v>885</v>
      </c>
      <c r="K87" s="821" t="s">
        <v>886</v>
      </c>
      <c r="L87" s="821" t="s">
        <v>951</v>
      </c>
      <c r="M87" s="821" t="s">
        <v>887</v>
      </c>
      <c r="N87" s="821" t="s">
        <v>886</v>
      </c>
      <c r="O87" s="821" t="s">
        <v>886</v>
      </c>
      <c r="P87" s="819">
        <v>33380</v>
      </c>
      <c r="Q87" s="820">
        <v>333.8</v>
      </c>
      <c r="R87" t="str">
        <f t="shared" si="1"/>
        <v>201704</v>
      </c>
      <c r="S87" s="405">
        <f>Q87</f>
        <v>333.8</v>
      </c>
    </row>
    <row r="88" spans="1:19">
      <c r="A88" s="821" t="s">
        <v>877</v>
      </c>
      <c r="B88" s="821" t="s">
        <v>878</v>
      </c>
      <c r="C88" s="821" t="s">
        <v>879</v>
      </c>
      <c r="D88" s="821" t="s">
        <v>880</v>
      </c>
      <c r="E88" s="821" t="s">
        <v>880</v>
      </c>
      <c r="F88" s="821" t="s">
        <v>881</v>
      </c>
      <c r="G88" s="821" t="s">
        <v>882</v>
      </c>
      <c r="H88" s="821" t="s">
        <v>883</v>
      </c>
      <c r="I88" s="821" t="s">
        <v>952</v>
      </c>
      <c r="J88" s="821" t="s">
        <v>885</v>
      </c>
      <c r="K88" s="821" t="s">
        <v>886</v>
      </c>
      <c r="L88" s="821" t="s">
        <v>952</v>
      </c>
      <c r="M88" s="821" t="s">
        <v>887</v>
      </c>
      <c r="N88" s="821" t="s">
        <v>888</v>
      </c>
      <c r="O88" s="821" t="s">
        <v>886</v>
      </c>
      <c r="P88" s="819">
        <v>195620</v>
      </c>
      <c r="Q88" s="820">
        <v>-1956.2</v>
      </c>
      <c r="R88" t="str">
        <f t="shared" si="1"/>
        <v>201704</v>
      </c>
      <c r="S88" s="405">
        <f>-Q88</f>
        <v>1956.2</v>
      </c>
    </row>
    <row r="89" spans="1:19">
      <c r="A89" s="821" t="s">
        <v>877</v>
      </c>
      <c r="B89" s="821" t="s">
        <v>878</v>
      </c>
      <c r="C89" s="821" t="s">
        <v>879</v>
      </c>
      <c r="D89" s="821" t="s">
        <v>880</v>
      </c>
      <c r="E89" s="821" t="s">
        <v>880</v>
      </c>
      <c r="F89" s="821" t="s">
        <v>881</v>
      </c>
      <c r="G89" s="821" t="s">
        <v>882</v>
      </c>
      <c r="H89" s="821" t="s">
        <v>883</v>
      </c>
      <c r="I89" s="821" t="s">
        <v>953</v>
      </c>
      <c r="J89" s="821" t="s">
        <v>885</v>
      </c>
      <c r="K89" s="821" t="s">
        <v>886</v>
      </c>
      <c r="L89" s="821" t="s">
        <v>953</v>
      </c>
      <c r="M89" s="821" t="s">
        <v>887</v>
      </c>
      <c r="N89" s="821" t="s">
        <v>886</v>
      </c>
      <c r="O89" s="821" t="s">
        <v>886</v>
      </c>
      <c r="P89" s="819">
        <v>209378</v>
      </c>
      <c r="Q89" s="820">
        <v>2093.7800000000002</v>
      </c>
      <c r="R89" t="str">
        <f t="shared" si="1"/>
        <v>201704</v>
      </c>
      <c r="S89" s="405">
        <f>Q89</f>
        <v>2093.7800000000002</v>
      </c>
    </row>
    <row r="90" spans="1:19">
      <c r="A90" s="821" t="s">
        <v>877</v>
      </c>
      <c r="B90" s="821" t="s">
        <v>878</v>
      </c>
      <c r="C90" s="821" t="s">
        <v>879</v>
      </c>
      <c r="D90" s="821" t="s">
        <v>880</v>
      </c>
      <c r="E90" s="821" t="s">
        <v>880</v>
      </c>
      <c r="F90" s="821" t="s">
        <v>881</v>
      </c>
      <c r="G90" s="821" t="s">
        <v>882</v>
      </c>
      <c r="H90" s="821" t="s">
        <v>883</v>
      </c>
      <c r="I90" s="821" t="s">
        <v>954</v>
      </c>
      <c r="J90" s="821" t="s">
        <v>885</v>
      </c>
      <c r="K90" s="821" t="s">
        <v>886</v>
      </c>
      <c r="L90" s="821" t="s">
        <v>954</v>
      </c>
      <c r="M90" s="821" t="s">
        <v>887</v>
      </c>
      <c r="N90" s="821" t="s">
        <v>886</v>
      </c>
      <c r="O90" s="821" t="s">
        <v>886</v>
      </c>
      <c r="P90" s="819">
        <v>116140</v>
      </c>
      <c r="Q90" s="820">
        <v>1161.4000000000001</v>
      </c>
      <c r="R90" t="str">
        <f t="shared" si="1"/>
        <v>201704</v>
      </c>
      <c r="S90" s="405">
        <f>Q90</f>
        <v>1161.4000000000001</v>
      </c>
    </row>
    <row r="91" spans="1:19">
      <c r="A91" s="821" t="s">
        <v>877</v>
      </c>
      <c r="B91" s="821" t="s">
        <v>878</v>
      </c>
      <c r="C91" s="821" t="s">
        <v>879</v>
      </c>
      <c r="D91" s="821" t="s">
        <v>880</v>
      </c>
      <c r="E91" s="821" t="s">
        <v>880</v>
      </c>
      <c r="F91" s="821" t="s">
        <v>881</v>
      </c>
      <c r="G91" s="821" t="s">
        <v>882</v>
      </c>
      <c r="H91" s="821" t="s">
        <v>883</v>
      </c>
      <c r="I91" s="821" t="s">
        <v>955</v>
      </c>
      <c r="J91" s="821" t="s">
        <v>885</v>
      </c>
      <c r="K91" s="821" t="s">
        <v>886</v>
      </c>
      <c r="L91" s="821" t="s">
        <v>955</v>
      </c>
      <c r="M91" s="821" t="s">
        <v>887</v>
      </c>
      <c r="N91" s="821" t="s">
        <v>888</v>
      </c>
      <c r="O91" s="821" t="s">
        <v>886</v>
      </c>
      <c r="P91" s="819">
        <v>88620</v>
      </c>
      <c r="Q91" s="820">
        <v>-886.2</v>
      </c>
      <c r="R91" t="str">
        <f t="shared" si="1"/>
        <v>201704</v>
      </c>
      <c r="S91" s="405">
        <f>-Q91</f>
        <v>886.2</v>
      </c>
    </row>
    <row r="92" spans="1:19">
      <c r="A92" s="821" t="s">
        <v>877</v>
      </c>
      <c r="B92" s="821" t="s">
        <v>878</v>
      </c>
      <c r="C92" s="821" t="s">
        <v>879</v>
      </c>
      <c r="D92" s="821" t="s">
        <v>880</v>
      </c>
      <c r="E92" s="821" t="s">
        <v>880</v>
      </c>
      <c r="F92" s="821" t="s">
        <v>881</v>
      </c>
      <c r="G92" s="821" t="s">
        <v>882</v>
      </c>
      <c r="H92" s="821" t="s">
        <v>883</v>
      </c>
      <c r="I92" s="821" t="s">
        <v>956</v>
      </c>
      <c r="J92" s="821" t="s">
        <v>885</v>
      </c>
      <c r="K92" s="821" t="s">
        <v>886</v>
      </c>
      <c r="L92" s="821" t="s">
        <v>956</v>
      </c>
      <c r="M92" s="821" t="s">
        <v>887</v>
      </c>
      <c r="N92" s="821" t="s">
        <v>886</v>
      </c>
      <c r="O92" s="821" t="s">
        <v>886</v>
      </c>
      <c r="P92" s="819">
        <v>27380</v>
      </c>
      <c r="Q92" s="820">
        <v>273.8</v>
      </c>
      <c r="R92" t="str">
        <f t="shared" si="1"/>
        <v>201704</v>
      </c>
      <c r="S92" s="405">
        <f>Q92</f>
        <v>273.8</v>
      </c>
    </row>
    <row r="93" spans="1:19">
      <c r="A93" s="821" t="s">
        <v>877</v>
      </c>
      <c r="B93" s="821" t="s">
        <v>878</v>
      </c>
      <c r="C93" s="821" t="s">
        <v>879</v>
      </c>
      <c r="D93" s="821" t="s">
        <v>880</v>
      </c>
      <c r="E93" s="821" t="s">
        <v>880</v>
      </c>
      <c r="F93" s="821" t="s">
        <v>881</v>
      </c>
      <c r="G93" s="821" t="s">
        <v>882</v>
      </c>
      <c r="H93" s="821" t="s">
        <v>883</v>
      </c>
      <c r="I93" s="821" t="s">
        <v>956</v>
      </c>
      <c r="J93" s="821" t="s">
        <v>885</v>
      </c>
      <c r="K93" s="821" t="s">
        <v>886</v>
      </c>
      <c r="L93" s="821" t="s">
        <v>956</v>
      </c>
      <c r="M93" s="821" t="s">
        <v>887</v>
      </c>
      <c r="N93" s="821" t="s">
        <v>888</v>
      </c>
      <c r="O93" s="821" t="s">
        <v>886</v>
      </c>
      <c r="P93" s="819">
        <v>35121</v>
      </c>
      <c r="Q93" s="820">
        <v>-351.21</v>
      </c>
      <c r="R93" t="str">
        <f t="shared" si="1"/>
        <v>201704</v>
      </c>
      <c r="S93" s="405">
        <f>-Q93</f>
        <v>351.21</v>
      </c>
    </row>
    <row r="94" spans="1:19">
      <c r="A94" s="821" t="s">
        <v>877</v>
      </c>
      <c r="B94" s="821" t="s">
        <v>878</v>
      </c>
      <c r="C94" s="821" t="s">
        <v>879</v>
      </c>
      <c r="D94" s="821" t="s">
        <v>880</v>
      </c>
      <c r="E94" s="821" t="s">
        <v>880</v>
      </c>
      <c r="F94" s="821" t="s">
        <v>881</v>
      </c>
      <c r="G94" s="821" t="s">
        <v>882</v>
      </c>
      <c r="H94" s="821" t="s">
        <v>883</v>
      </c>
      <c r="I94" s="821" t="s">
        <v>957</v>
      </c>
      <c r="J94" s="821" t="s">
        <v>885</v>
      </c>
      <c r="K94" s="821" t="s">
        <v>886</v>
      </c>
      <c r="L94" s="821" t="s">
        <v>957</v>
      </c>
      <c r="M94" s="821" t="s">
        <v>887</v>
      </c>
      <c r="N94" s="821" t="s">
        <v>886</v>
      </c>
      <c r="O94" s="821" t="s">
        <v>886</v>
      </c>
      <c r="P94" s="819">
        <v>107391</v>
      </c>
      <c r="Q94" s="820">
        <v>1073.9100000000001</v>
      </c>
      <c r="R94" t="str">
        <f t="shared" si="1"/>
        <v>201705</v>
      </c>
      <c r="S94" s="405">
        <f t="shared" ref="S94:S99" si="2">Q94</f>
        <v>1073.9100000000001</v>
      </c>
    </row>
    <row r="95" spans="1:19">
      <c r="A95" s="821" t="s">
        <v>877</v>
      </c>
      <c r="B95" s="821" t="s">
        <v>878</v>
      </c>
      <c r="C95" s="821" t="s">
        <v>879</v>
      </c>
      <c r="D95" s="821" t="s">
        <v>880</v>
      </c>
      <c r="E95" s="821" t="s">
        <v>880</v>
      </c>
      <c r="F95" s="821" t="s">
        <v>881</v>
      </c>
      <c r="G95" s="821" t="s">
        <v>882</v>
      </c>
      <c r="H95" s="821" t="s">
        <v>883</v>
      </c>
      <c r="I95" s="821" t="s">
        <v>957</v>
      </c>
      <c r="J95" s="821" t="s">
        <v>885</v>
      </c>
      <c r="K95" s="821" t="s">
        <v>886</v>
      </c>
      <c r="L95" s="821" t="s">
        <v>957</v>
      </c>
      <c r="M95" s="821" t="s">
        <v>887</v>
      </c>
      <c r="N95" s="821" t="s">
        <v>886</v>
      </c>
      <c r="O95" s="821" t="s">
        <v>886</v>
      </c>
      <c r="P95" s="819">
        <v>30000000</v>
      </c>
      <c r="Q95" s="794">
        <v>300000</v>
      </c>
      <c r="R95" t="str">
        <f t="shared" si="1"/>
        <v>201705</v>
      </c>
      <c r="S95" s="405">
        <f t="shared" si="2"/>
        <v>300000</v>
      </c>
    </row>
    <row r="96" spans="1:19">
      <c r="A96" s="821" t="s">
        <v>877</v>
      </c>
      <c r="B96" s="821" t="s">
        <v>878</v>
      </c>
      <c r="C96" s="821" t="s">
        <v>879</v>
      </c>
      <c r="D96" s="821" t="s">
        <v>880</v>
      </c>
      <c r="E96" s="821" t="s">
        <v>880</v>
      </c>
      <c r="F96" s="821" t="s">
        <v>881</v>
      </c>
      <c r="G96" s="821" t="s">
        <v>882</v>
      </c>
      <c r="H96" s="821" t="s">
        <v>883</v>
      </c>
      <c r="I96" s="821" t="s">
        <v>958</v>
      </c>
      <c r="J96" s="821" t="s">
        <v>885</v>
      </c>
      <c r="K96" s="821" t="s">
        <v>886</v>
      </c>
      <c r="L96" s="821" t="s">
        <v>958</v>
      </c>
      <c r="M96" s="821" t="s">
        <v>887</v>
      </c>
      <c r="N96" s="821" t="s">
        <v>886</v>
      </c>
      <c r="O96" s="821" t="s">
        <v>886</v>
      </c>
      <c r="P96" s="819">
        <v>134800</v>
      </c>
      <c r="Q96" s="820">
        <v>1348</v>
      </c>
      <c r="R96" t="str">
        <f t="shared" si="1"/>
        <v>201705</v>
      </c>
      <c r="S96" s="405">
        <f t="shared" si="2"/>
        <v>1348</v>
      </c>
    </row>
    <row r="97" spans="1:19">
      <c r="A97" s="821" t="s">
        <v>877</v>
      </c>
      <c r="B97" s="821" t="s">
        <v>878</v>
      </c>
      <c r="C97" s="821" t="s">
        <v>879</v>
      </c>
      <c r="D97" s="821" t="s">
        <v>880</v>
      </c>
      <c r="E97" s="821" t="s">
        <v>880</v>
      </c>
      <c r="F97" s="821" t="s">
        <v>881</v>
      </c>
      <c r="G97" s="821" t="s">
        <v>882</v>
      </c>
      <c r="H97" s="821" t="s">
        <v>883</v>
      </c>
      <c r="I97" s="821" t="s">
        <v>958</v>
      </c>
      <c r="J97" s="821" t="s">
        <v>885</v>
      </c>
      <c r="K97" s="821" t="s">
        <v>886</v>
      </c>
      <c r="L97" s="821" t="s">
        <v>958</v>
      </c>
      <c r="M97" s="821" t="s">
        <v>887</v>
      </c>
      <c r="N97" s="821" t="s">
        <v>886</v>
      </c>
      <c r="O97" s="821" t="s">
        <v>886</v>
      </c>
      <c r="P97" s="819">
        <v>289542</v>
      </c>
      <c r="Q97" s="820">
        <v>2895.42</v>
      </c>
      <c r="R97" t="str">
        <f t="shared" si="1"/>
        <v>201705</v>
      </c>
      <c r="S97" s="405">
        <f t="shared" si="2"/>
        <v>2895.42</v>
      </c>
    </row>
    <row r="98" spans="1:19">
      <c r="A98" s="821" t="s">
        <v>877</v>
      </c>
      <c r="B98" s="821" t="s">
        <v>878</v>
      </c>
      <c r="C98" s="821" t="s">
        <v>879</v>
      </c>
      <c r="D98" s="821" t="s">
        <v>880</v>
      </c>
      <c r="E98" s="821" t="s">
        <v>880</v>
      </c>
      <c r="F98" s="821" t="s">
        <v>881</v>
      </c>
      <c r="G98" s="821" t="s">
        <v>882</v>
      </c>
      <c r="H98" s="821" t="s">
        <v>883</v>
      </c>
      <c r="I98" s="821" t="s">
        <v>959</v>
      </c>
      <c r="J98" s="821" t="s">
        <v>885</v>
      </c>
      <c r="K98" s="821" t="s">
        <v>886</v>
      </c>
      <c r="L98" s="821" t="s">
        <v>959</v>
      </c>
      <c r="M98" s="821" t="s">
        <v>887</v>
      </c>
      <c r="N98" s="821" t="s">
        <v>886</v>
      </c>
      <c r="O98" s="821" t="s">
        <v>886</v>
      </c>
      <c r="P98" s="819">
        <v>69282</v>
      </c>
      <c r="Q98" s="820">
        <v>692.82</v>
      </c>
      <c r="R98" t="str">
        <f t="shared" si="1"/>
        <v>201705</v>
      </c>
      <c r="S98" s="405">
        <f t="shared" si="2"/>
        <v>692.82</v>
      </c>
    </row>
    <row r="99" spans="1:19">
      <c r="A99" s="821" t="s">
        <v>877</v>
      </c>
      <c r="B99" s="821" t="s">
        <v>878</v>
      </c>
      <c r="C99" s="821" t="s">
        <v>879</v>
      </c>
      <c r="D99" s="821" t="s">
        <v>880</v>
      </c>
      <c r="E99" s="821" t="s">
        <v>880</v>
      </c>
      <c r="F99" s="821" t="s">
        <v>881</v>
      </c>
      <c r="G99" s="821" t="s">
        <v>882</v>
      </c>
      <c r="H99" s="821" t="s">
        <v>883</v>
      </c>
      <c r="I99" s="821" t="s">
        <v>960</v>
      </c>
      <c r="J99" s="821" t="s">
        <v>885</v>
      </c>
      <c r="K99" s="821" t="s">
        <v>886</v>
      </c>
      <c r="L99" s="821" t="s">
        <v>960</v>
      </c>
      <c r="M99" s="821" t="s">
        <v>887</v>
      </c>
      <c r="N99" s="821" t="s">
        <v>886</v>
      </c>
      <c r="O99" s="821" t="s">
        <v>886</v>
      </c>
      <c r="P99" s="819">
        <v>223838</v>
      </c>
      <c r="Q99" s="820">
        <v>2238.38</v>
      </c>
      <c r="R99" t="str">
        <f t="shared" si="1"/>
        <v>201705</v>
      </c>
      <c r="S99" s="405">
        <f t="shared" si="2"/>
        <v>2238.38</v>
      </c>
    </row>
    <row r="100" spans="1:19">
      <c r="A100" s="821" t="s">
        <v>877</v>
      </c>
      <c r="B100" s="821" t="s">
        <v>878</v>
      </c>
      <c r="C100" s="821" t="s">
        <v>879</v>
      </c>
      <c r="D100" s="821" t="s">
        <v>880</v>
      </c>
      <c r="E100" s="821" t="s">
        <v>880</v>
      </c>
      <c r="F100" s="821" t="s">
        <v>881</v>
      </c>
      <c r="G100" s="821" t="s">
        <v>882</v>
      </c>
      <c r="H100" s="821" t="s">
        <v>883</v>
      </c>
      <c r="I100" s="821" t="s">
        <v>961</v>
      </c>
      <c r="J100" s="821" t="s">
        <v>885</v>
      </c>
      <c r="K100" s="821" t="s">
        <v>886</v>
      </c>
      <c r="L100" s="821" t="s">
        <v>961</v>
      </c>
      <c r="M100" s="821" t="s">
        <v>887</v>
      </c>
      <c r="N100" s="821" t="s">
        <v>888</v>
      </c>
      <c r="O100" s="821" t="s">
        <v>886</v>
      </c>
      <c r="P100" s="819">
        <v>414297</v>
      </c>
      <c r="Q100" s="820">
        <v>-4142.97</v>
      </c>
      <c r="R100" t="str">
        <f t="shared" si="1"/>
        <v>201705</v>
      </c>
      <c r="S100" s="405">
        <f>-Q100</f>
        <v>4142.97</v>
      </c>
    </row>
    <row r="101" spans="1:19">
      <c r="A101" s="821" t="s">
        <v>877</v>
      </c>
      <c r="B101" s="821" t="s">
        <v>878</v>
      </c>
      <c r="C101" s="821" t="s">
        <v>879</v>
      </c>
      <c r="D101" s="821" t="s">
        <v>880</v>
      </c>
      <c r="E101" s="821" t="s">
        <v>880</v>
      </c>
      <c r="F101" s="821" t="s">
        <v>881</v>
      </c>
      <c r="G101" s="821" t="s">
        <v>882</v>
      </c>
      <c r="H101" s="821" t="s">
        <v>883</v>
      </c>
      <c r="I101" s="821" t="s">
        <v>962</v>
      </c>
      <c r="J101" s="821" t="s">
        <v>885</v>
      </c>
      <c r="K101" s="821" t="s">
        <v>886</v>
      </c>
      <c r="L101" s="821" t="s">
        <v>962</v>
      </c>
      <c r="M101" s="821" t="s">
        <v>887</v>
      </c>
      <c r="N101" s="821" t="s">
        <v>886</v>
      </c>
      <c r="O101" s="821" t="s">
        <v>886</v>
      </c>
      <c r="P101" s="819">
        <v>90433</v>
      </c>
      <c r="Q101" s="820">
        <v>904.33</v>
      </c>
      <c r="R101" t="str">
        <f t="shared" si="1"/>
        <v>201705</v>
      </c>
      <c r="S101" s="405">
        <f>Q101</f>
        <v>904.33</v>
      </c>
    </row>
    <row r="102" spans="1:19">
      <c r="A102" s="821" t="s">
        <v>877</v>
      </c>
      <c r="B102" s="821" t="s">
        <v>878</v>
      </c>
      <c r="C102" s="821" t="s">
        <v>879</v>
      </c>
      <c r="D102" s="821" t="s">
        <v>880</v>
      </c>
      <c r="E102" s="821" t="s">
        <v>880</v>
      </c>
      <c r="F102" s="821" t="s">
        <v>881</v>
      </c>
      <c r="G102" s="821" t="s">
        <v>882</v>
      </c>
      <c r="H102" s="821" t="s">
        <v>883</v>
      </c>
      <c r="I102" s="821" t="s">
        <v>963</v>
      </c>
      <c r="J102" s="821" t="s">
        <v>885</v>
      </c>
      <c r="K102" s="821" t="s">
        <v>886</v>
      </c>
      <c r="L102" s="821" t="s">
        <v>963</v>
      </c>
      <c r="M102" s="821" t="s">
        <v>887</v>
      </c>
      <c r="N102" s="821" t="s">
        <v>886</v>
      </c>
      <c r="O102" s="821" t="s">
        <v>886</v>
      </c>
      <c r="P102" s="819">
        <v>67434</v>
      </c>
      <c r="Q102" s="820">
        <v>674.34</v>
      </c>
      <c r="R102" t="str">
        <f t="shared" si="1"/>
        <v>201705</v>
      </c>
      <c r="S102" s="405">
        <f>Q102</f>
        <v>674.34</v>
      </c>
    </row>
    <row r="103" spans="1:19">
      <c r="A103" s="821" t="s">
        <v>877</v>
      </c>
      <c r="B103" s="821" t="s">
        <v>878</v>
      </c>
      <c r="C103" s="821" t="s">
        <v>879</v>
      </c>
      <c r="D103" s="821" t="s">
        <v>880</v>
      </c>
      <c r="E103" s="821" t="s">
        <v>880</v>
      </c>
      <c r="F103" s="821" t="s">
        <v>881</v>
      </c>
      <c r="G103" s="821" t="s">
        <v>882</v>
      </c>
      <c r="H103" s="821" t="s">
        <v>883</v>
      </c>
      <c r="I103" s="821" t="s">
        <v>964</v>
      </c>
      <c r="J103" s="821" t="s">
        <v>885</v>
      </c>
      <c r="K103" s="821" t="s">
        <v>886</v>
      </c>
      <c r="L103" s="821" t="s">
        <v>964</v>
      </c>
      <c r="M103" s="821" t="s">
        <v>887</v>
      </c>
      <c r="N103" s="821" t="s">
        <v>886</v>
      </c>
      <c r="O103" s="821" t="s">
        <v>886</v>
      </c>
      <c r="P103" s="819">
        <v>80535</v>
      </c>
      <c r="Q103" s="820">
        <v>805.35</v>
      </c>
      <c r="R103" t="str">
        <f t="shared" si="1"/>
        <v>201705</v>
      </c>
      <c r="S103" s="405">
        <f>Q103</f>
        <v>805.35</v>
      </c>
    </row>
    <row r="104" spans="1:19">
      <c r="A104" s="821" t="s">
        <v>877</v>
      </c>
      <c r="B104" s="821" t="s">
        <v>878</v>
      </c>
      <c r="C104" s="821" t="s">
        <v>879</v>
      </c>
      <c r="D104" s="821" t="s">
        <v>880</v>
      </c>
      <c r="E104" s="821" t="s">
        <v>880</v>
      </c>
      <c r="F104" s="821" t="s">
        <v>881</v>
      </c>
      <c r="G104" s="821" t="s">
        <v>882</v>
      </c>
      <c r="H104" s="821" t="s">
        <v>883</v>
      </c>
      <c r="I104" s="821" t="s">
        <v>965</v>
      </c>
      <c r="J104" s="821" t="s">
        <v>885</v>
      </c>
      <c r="K104" s="821" t="s">
        <v>886</v>
      </c>
      <c r="L104" s="821" t="s">
        <v>965</v>
      </c>
      <c r="M104" s="821" t="s">
        <v>887</v>
      </c>
      <c r="N104" s="821" t="s">
        <v>888</v>
      </c>
      <c r="O104" s="821" t="s">
        <v>886</v>
      </c>
      <c r="P104" s="819">
        <v>67666</v>
      </c>
      <c r="Q104" s="820">
        <v>-676.66</v>
      </c>
      <c r="R104" t="str">
        <f t="shared" si="1"/>
        <v>201705</v>
      </c>
      <c r="S104" s="405">
        <f>-Q104</f>
        <v>676.66</v>
      </c>
    </row>
    <row r="105" spans="1:19">
      <c r="A105" s="821" t="s">
        <v>877</v>
      </c>
      <c r="B105" s="821" t="s">
        <v>878</v>
      </c>
      <c r="C105" s="821" t="s">
        <v>879</v>
      </c>
      <c r="D105" s="821" t="s">
        <v>880</v>
      </c>
      <c r="E105" s="821" t="s">
        <v>880</v>
      </c>
      <c r="F105" s="821" t="s">
        <v>881</v>
      </c>
      <c r="G105" s="821" t="s">
        <v>882</v>
      </c>
      <c r="H105" s="821" t="s">
        <v>883</v>
      </c>
      <c r="I105" s="821" t="s">
        <v>966</v>
      </c>
      <c r="J105" s="821" t="s">
        <v>885</v>
      </c>
      <c r="K105" s="821" t="s">
        <v>886</v>
      </c>
      <c r="L105" s="821" t="s">
        <v>966</v>
      </c>
      <c r="M105" s="821" t="s">
        <v>887</v>
      </c>
      <c r="N105" s="821" t="s">
        <v>886</v>
      </c>
      <c r="O105" s="821" t="s">
        <v>886</v>
      </c>
      <c r="P105" s="819">
        <v>50000000</v>
      </c>
      <c r="Q105" s="794">
        <v>500000</v>
      </c>
      <c r="R105" t="str">
        <f t="shared" si="1"/>
        <v>201705</v>
      </c>
      <c r="S105" s="405">
        <f>Q105</f>
        <v>500000</v>
      </c>
    </row>
    <row r="106" spans="1:19">
      <c r="A106" s="821" t="s">
        <v>877</v>
      </c>
      <c r="B106" s="821" t="s">
        <v>878</v>
      </c>
      <c r="C106" s="821" t="s">
        <v>879</v>
      </c>
      <c r="D106" s="821" t="s">
        <v>880</v>
      </c>
      <c r="E106" s="821" t="s">
        <v>880</v>
      </c>
      <c r="F106" s="821" t="s">
        <v>881</v>
      </c>
      <c r="G106" s="821" t="s">
        <v>882</v>
      </c>
      <c r="H106" s="821" t="s">
        <v>883</v>
      </c>
      <c r="I106" s="821" t="s">
        <v>966</v>
      </c>
      <c r="J106" s="821" t="s">
        <v>885</v>
      </c>
      <c r="K106" s="821" t="s">
        <v>886</v>
      </c>
      <c r="L106" s="821" t="s">
        <v>966</v>
      </c>
      <c r="M106" s="821" t="s">
        <v>887</v>
      </c>
      <c r="N106" s="821" t="s">
        <v>888</v>
      </c>
      <c r="O106" s="821" t="s">
        <v>886</v>
      </c>
      <c r="P106" s="819">
        <v>22174</v>
      </c>
      <c r="Q106" s="820">
        <v>-221.74</v>
      </c>
      <c r="R106" t="str">
        <f t="shared" si="1"/>
        <v>201705</v>
      </c>
      <c r="S106" s="405">
        <f>-Q106</f>
        <v>221.74</v>
      </c>
    </row>
    <row r="107" spans="1:19">
      <c r="A107" s="821" t="s">
        <v>877</v>
      </c>
      <c r="B107" s="821" t="s">
        <v>878</v>
      </c>
      <c r="C107" s="821" t="s">
        <v>879</v>
      </c>
      <c r="D107" s="821" t="s">
        <v>880</v>
      </c>
      <c r="E107" s="821" t="s">
        <v>880</v>
      </c>
      <c r="F107" s="821" t="s">
        <v>881</v>
      </c>
      <c r="G107" s="821" t="s">
        <v>882</v>
      </c>
      <c r="H107" s="821" t="s">
        <v>883</v>
      </c>
      <c r="I107" s="821" t="s">
        <v>967</v>
      </c>
      <c r="J107" s="821" t="s">
        <v>885</v>
      </c>
      <c r="K107" s="821" t="s">
        <v>886</v>
      </c>
      <c r="L107" s="821" t="s">
        <v>967</v>
      </c>
      <c r="M107" s="821" t="s">
        <v>887</v>
      </c>
      <c r="N107" s="821" t="s">
        <v>886</v>
      </c>
      <c r="O107" s="821" t="s">
        <v>886</v>
      </c>
      <c r="P107" s="819">
        <v>456930</v>
      </c>
      <c r="Q107" s="820">
        <v>4569.3</v>
      </c>
      <c r="R107" t="str">
        <f t="shared" si="1"/>
        <v>201705</v>
      </c>
      <c r="S107" s="405">
        <f>Q107</f>
        <v>4569.3</v>
      </c>
    </row>
    <row r="108" spans="1:19">
      <c r="A108" s="821" t="s">
        <v>877</v>
      </c>
      <c r="B108" s="821" t="s">
        <v>878</v>
      </c>
      <c r="C108" s="821" t="s">
        <v>879</v>
      </c>
      <c r="D108" s="821" t="s">
        <v>880</v>
      </c>
      <c r="E108" s="821" t="s">
        <v>880</v>
      </c>
      <c r="F108" s="821" t="s">
        <v>881</v>
      </c>
      <c r="G108" s="821" t="s">
        <v>882</v>
      </c>
      <c r="H108" s="821" t="s">
        <v>883</v>
      </c>
      <c r="I108" s="821" t="s">
        <v>968</v>
      </c>
      <c r="J108" s="821" t="s">
        <v>885</v>
      </c>
      <c r="K108" s="821" t="s">
        <v>886</v>
      </c>
      <c r="L108" s="821" t="s">
        <v>968</v>
      </c>
      <c r="M108" s="821" t="s">
        <v>887</v>
      </c>
      <c r="N108" s="821" t="s">
        <v>888</v>
      </c>
      <c r="O108" s="821" t="s">
        <v>886</v>
      </c>
      <c r="P108" s="819">
        <v>105356</v>
      </c>
      <c r="Q108" s="820">
        <v>-1053.56</v>
      </c>
      <c r="R108" t="str">
        <f t="shared" si="1"/>
        <v>201705</v>
      </c>
      <c r="S108" s="405">
        <f>-Q108</f>
        <v>1053.56</v>
      </c>
    </row>
    <row r="109" spans="1:19">
      <c r="A109" s="821" t="s">
        <v>877</v>
      </c>
      <c r="B109" s="821" t="s">
        <v>878</v>
      </c>
      <c r="C109" s="821" t="s">
        <v>879</v>
      </c>
      <c r="D109" s="821" t="s">
        <v>880</v>
      </c>
      <c r="E109" s="821" t="s">
        <v>880</v>
      </c>
      <c r="F109" s="821" t="s">
        <v>881</v>
      </c>
      <c r="G109" s="821" t="s">
        <v>882</v>
      </c>
      <c r="H109" s="821" t="s">
        <v>883</v>
      </c>
      <c r="I109" s="821" t="s">
        <v>968</v>
      </c>
      <c r="J109" s="821" t="s">
        <v>885</v>
      </c>
      <c r="K109" s="821" t="s">
        <v>886</v>
      </c>
      <c r="L109" s="821" t="s">
        <v>968</v>
      </c>
      <c r="M109" s="821" t="s">
        <v>887</v>
      </c>
      <c r="N109" s="821" t="s">
        <v>888</v>
      </c>
      <c r="O109" s="821" t="s">
        <v>886</v>
      </c>
      <c r="P109" s="819">
        <v>20397306</v>
      </c>
      <c r="Q109" s="794">
        <v>-203973.06</v>
      </c>
      <c r="R109" t="str">
        <f t="shared" si="1"/>
        <v>201705</v>
      </c>
      <c r="S109" s="405">
        <f>-Q109</f>
        <v>203973.06</v>
      </c>
    </row>
    <row r="110" spans="1:19">
      <c r="A110" s="821" t="s">
        <v>877</v>
      </c>
      <c r="B110" s="821" t="s">
        <v>878</v>
      </c>
      <c r="C110" s="821" t="s">
        <v>879</v>
      </c>
      <c r="D110" s="821" t="s">
        <v>880</v>
      </c>
      <c r="E110" s="821" t="s">
        <v>880</v>
      </c>
      <c r="F110" s="821" t="s">
        <v>881</v>
      </c>
      <c r="G110" s="821" t="s">
        <v>882</v>
      </c>
      <c r="H110" s="821" t="s">
        <v>883</v>
      </c>
      <c r="I110" s="821" t="s">
        <v>969</v>
      </c>
      <c r="J110" s="821" t="s">
        <v>885</v>
      </c>
      <c r="K110" s="821" t="s">
        <v>886</v>
      </c>
      <c r="L110" s="821" t="s">
        <v>969</v>
      </c>
      <c r="M110" s="821" t="s">
        <v>887</v>
      </c>
      <c r="N110" s="821" t="s">
        <v>888</v>
      </c>
      <c r="O110" s="821" t="s">
        <v>886</v>
      </c>
      <c r="P110" s="819">
        <v>258780</v>
      </c>
      <c r="Q110" s="820">
        <v>-2587.8000000000002</v>
      </c>
      <c r="R110" t="str">
        <f t="shared" si="1"/>
        <v>201705</v>
      </c>
      <c r="S110" s="405">
        <f>-Q110</f>
        <v>2587.8000000000002</v>
      </c>
    </row>
    <row r="111" spans="1:19">
      <c r="A111" s="821" t="s">
        <v>877</v>
      </c>
      <c r="B111" s="821" t="s">
        <v>878</v>
      </c>
      <c r="C111" s="821" t="s">
        <v>879</v>
      </c>
      <c r="D111" s="821" t="s">
        <v>880</v>
      </c>
      <c r="E111" s="821" t="s">
        <v>880</v>
      </c>
      <c r="F111" s="821" t="s">
        <v>881</v>
      </c>
      <c r="G111" s="821" t="s">
        <v>882</v>
      </c>
      <c r="H111" s="821" t="s">
        <v>883</v>
      </c>
      <c r="I111" s="821" t="s">
        <v>970</v>
      </c>
      <c r="J111" s="821" t="s">
        <v>885</v>
      </c>
      <c r="K111" s="821" t="s">
        <v>886</v>
      </c>
      <c r="L111" s="821" t="s">
        <v>970</v>
      </c>
      <c r="M111" s="821" t="s">
        <v>887</v>
      </c>
      <c r="N111" s="821" t="s">
        <v>886</v>
      </c>
      <c r="O111" s="821" t="s">
        <v>886</v>
      </c>
      <c r="P111" s="819">
        <v>818643</v>
      </c>
      <c r="Q111" s="820">
        <v>8186.43</v>
      </c>
      <c r="R111" t="str">
        <f t="shared" si="1"/>
        <v>201705</v>
      </c>
      <c r="S111" s="405">
        <f>Q111</f>
        <v>8186.43</v>
      </c>
    </row>
    <row r="112" spans="1:19">
      <c r="A112" s="821" t="s">
        <v>877</v>
      </c>
      <c r="B112" s="821" t="s">
        <v>878</v>
      </c>
      <c r="C112" s="821" t="s">
        <v>879</v>
      </c>
      <c r="D112" s="821" t="s">
        <v>880</v>
      </c>
      <c r="E112" s="821" t="s">
        <v>880</v>
      </c>
      <c r="F112" s="821" t="s">
        <v>881</v>
      </c>
      <c r="G112" s="821" t="s">
        <v>882</v>
      </c>
      <c r="H112" s="821" t="s">
        <v>883</v>
      </c>
      <c r="I112" s="821" t="s">
        <v>971</v>
      </c>
      <c r="J112" s="821" t="s">
        <v>885</v>
      </c>
      <c r="K112" s="821" t="s">
        <v>886</v>
      </c>
      <c r="L112" s="821" t="s">
        <v>971</v>
      </c>
      <c r="M112" s="821" t="s">
        <v>887</v>
      </c>
      <c r="N112" s="821" t="s">
        <v>886</v>
      </c>
      <c r="O112" s="821" t="s">
        <v>886</v>
      </c>
      <c r="P112" s="819">
        <v>10000000</v>
      </c>
      <c r="Q112" s="794">
        <v>100000</v>
      </c>
      <c r="R112" t="str">
        <f t="shared" si="1"/>
        <v>201705</v>
      </c>
      <c r="S112" s="405">
        <f>Q112</f>
        <v>100000</v>
      </c>
    </row>
    <row r="113" spans="1:19">
      <c r="A113" s="821" t="s">
        <v>877</v>
      </c>
      <c r="B113" s="821" t="s">
        <v>878</v>
      </c>
      <c r="C113" s="821" t="s">
        <v>879</v>
      </c>
      <c r="D113" s="821" t="s">
        <v>880</v>
      </c>
      <c r="E113" s="821" t="s">
        <v>880</v>
      </c>
      <c r="F113" s="821" t="s">
        <v>881</v>
      </c>
      <c r="G113" s="821" t="s">
        <v>882</v>
      </c>
      <c r="H113" s="821" t="s">
        <v>883</v>
      </c>
      <c r="I113" s="821" t="s">
        <v>971</v>
      </c>
      <c r="J113" s="821" t="s">
        <v>885</v>
      </c>
      <c r="K113" s="821" t="s">
        <v>886</v>
      </c>
      <c r="L113" s="821" t="s">
        <v>971</v>
      </c>
      <c r="M113" s="821" t="s">
        <v>887</v>
      </c>
      <c r="N113" s="821" t="s">
        <v>888</v>
      </c>
      <c r="O113" s="821" t="s">
        <v>886</v>
      </c>
      <c r="P113" s="819">
        <v>12273</v>
      </c>
      <c r="Q113" s="820">
        <v>-122.73</v>
      </c>
      <c r="R113" t="str">
        <f t="shared" si="1"/>
        <v>201705</v>
      </c>
      <c r="S113" s="405">
        <f>-Q113</f>
        <v>122.73</v>
      </c>
    </row>
    <row r="114" spans="1:19">
      <c r="A114" s="821" t="s">
        <v>877</v>
      </c>
      <c r="B114" s="821" t="s">
        <v>878</v>
      </c>
      <c r="C114" s="821" t="s">
        <v>879</v>
      </c>
      <c r="D114" s="821" t="s">
        <v>880</v>
      </c>
      <c r="E114" s="821" t="s">
        <v>880</v>
      </c>
      <c r="F114" s="821" t="s">
        <v>881</v>
      </c>
      <c r="G114" s="821" t="s">
        <v>882</v>
      </c>
      <c r="H114" s="821" t="s">
        <v>883</v>
      </c>
      <c r="I114" s="821" t="s">
        <v>972</v>
      </c>
      <c r="J114" s="821" t="s">
        <v>885</v>
      </c>
      <c r="K114" s="821" t="s">
        <v>886</v>
      </c>
      <c r="L114" s="821" t="s">
        <v>972</v>
      </c>
      <c r="M114" s="821" t="s">
        <v>887</v>
      </c>
      <c r="N114" s="821" t="s">
        <v>888</v>
      </c>
      <c r="O114" s="821" t="s">
        <v>886</v>
      </c>
      <c r="P114" s="819">
        <v>378704</v>
      </c>
      <c r="Q114" s="820">
        <v>-3787.04</v>
      </c>
      <c r="R114" t="str">
        <f t="shared" si="1"/>
        <v>201705</v>
      </c>
      <c r="S114" s="405">
        <f>-Q114</f>
        <v>3787.04</v>
      </c>
    </row>
    <row r="115" spans="1:19">
      <c r="A115" s="821" t="s">
        <v>877</v>
      </c>
      <c r="B115" s="821" t="s">
        <v>878</v>
      </c>
      <c r="C115" s="821" t="s">
        <v>879</v>
      </c>
      <c r="D115" s="821" t="s">
        <v>880</v>
      </c>
      <c r="E115" s="821" t="s">
        <v>880</v>
      </c>
      <c r="F115" s="821" t="s">
        <v>881</v>
      </c>
      <c r="G115" s="821" t="s">
        <v>882</v>
      </c>
      <c r="H115" s="821" t="s">
        <v>883</v>
      </c>
      <c r="I115" s="821" t="s">
        <v>972</v>
      </c>
      <c r="J115" s="821" t="s">
        <v>885</v>
      </c>
      <c r="K115" s="821" t="s">
        <v>886</v>
      </c>
      <c r="L115" s="821" t="s">
        <v>972</v>
      </c>
      <c r="M115" s="821" t="s">
        <v>887</v>
      </c>
      <c r="N115" s="821" t="s">
        <v>888</v>
      </c>
      <c r="O115" s="821" t="s">
        <v>886</v>
      </c>
      <c r="P115" s="819">
        <v>10000000</v>
      </c>
      <c r="Q115" s="823"/>
      <c r="R115" t="str">
        <f t="shared" si="1"/>
        <v>201705</v>
      </c>
      <c r="S115" s="405">
        <f>-Q115</f>
        <v>0</v>
      </c>
    </row>
    <row r="116" spans="1:19">
      <c r="A116" s="821" t="s">
        <v>877</v>
      </c>
      <c r="B116" s="821" t="s">
        <v>878</v>
      </c>
      <c r="C116" s="821" t="s">
        <v>879</v>
      </c>
      <c r="D116" s="821" t="s">
        <v>880</v>
      </c>
      <c r="E116" s="821" t="s">
        <v>880</v>
      </c>
      <c r="F116" s="821" t="s">
        <v>881</v>
      </c>
      <c r="G116" s="821" t="s">
        <v>882</v>
      </c>
      <c r="H116" s="821" t="s">
        <v>883</v>
      </c>
      <c r="I116" s="821" t="s">
        <v>973</v>
      </c>
      <c r="J116" s="821" t="s">
        <v>885</v>
      </c>
      <c r="K116" s="821" t="s">
        <v>886</v>
      </c>
      <c r="L116" s="821" t="s">
        <v>973</v>
      </c>
      <c r="M116" s="821" t="s">
        <v>887</v>
      </c>
      <c r="N116" s="821" t="s">
        <v>888</v>
      </c>
      <c r="O116" s="821" t="s">
        <v>886</v>
      </c>
      <c r="P116" s="819">
        <v>158244</v>
      </c>
      <c r="Q116" s="820">
        <v>-1582.44</v>
      </c>
      <c r="R116" t="str">
        <f t="shared" si="1"/>
        <v>201705</v>
      </c>
      <c r="S116" s="405">
        <f>-Q116</f>
        <v>1582.44</v>
      </c>
    </row>
    <row r="117" spans="1:19">
      <c r="A117" s="821" t="s">
        <v>877</v>
      </c>
      <c r="B117" s="821" t="s">
        <v>878</v>
      </c>
      <c r="C117" s="821" t="s">
        <v>879</v>
      </c>
      <c r="D117" s="821" t="s">
        <v>880</v>
      </c>
      <c r="E117" s="821" t="s">
        <v>880</v>
      </c>
      <c r="F117" s="821" t="s">
        <v>881</v>
      </c>
      <c r="G117" s="821" t="s">
        <v>882</v>
      </c>
      <c r="H117" s="821" t="s">
        <v>883</v>
      </c>
      <c r="I117" s="821" t="s">
        <v>974</v>
      </c>
      <c r="J117" s="821" t="s">
        <v>885</v>
      </c>
      <c r="K117" s="821" t="s">
        <v>886</v>
      </c>
      <c r="L117" s="821" t="s">
        <v>974</v>
      </c>
      <c r="M117" s="821" t="s">
        <v>887</v>
      </c>
      <c r="N117" s="821" t="s">
        <v>888</v>
      </c>
      <c r="O117" s="821" t="s">
        <v>886</v>
      </c>
      <c r="P117" s="819">
        <v>231644</v>
      </c>
      <c r="Q117" s="820">
        <v>-2316.44</v>
      </c>
      <c r="R117" t="str">
        <f t="shared" si="1"/>
        <v>201705</v>
      </c>
      <c r="S117" s="405">
        <f>-Q117</f>
        <v>2316.44</v>
      </c>
    </row>
    <row r="118" spans="1:19">
      <c r="A118" s="821" t="s">
        <v>877</v>
      </c>
      <c r="B118" s="821" t="s">
        <v>878</v>
      </c>
      <c r="C118" s="821" t="s">
        <v>879</v>
      </c>
      <c r="D118" s="821" t="s">
        <v>880</v>
      </c>
      <c r="E118" s="821" t="s">
        <v>880</v>
      </c>
      <c r="F118" s="821" t="s">
        <v>881</v>
      </c>
      <c r="G118" s="821" t="s">
        <v>882</v>
      </c>
      <c r="H118" s="821" t="s">
        <v>883</v>
      </c>
      <c r="I118" s="821" t="s">
        <v>975</v>
      </c>
      <c r="J118" s="821" t="s">
        <v>885</v>
      </c>
      <c r="K118" s="821" t="s">
        <v>886</v>
      </c>
      <c r="L118" s="821" t="s">
        <v>975</v>
      </c>
      <c r="M118" s="821" t="s">
        <v>887</v>
      </c>
      <c r="N118" s="821" t="s">
        <v>886</v>
      </c>
      <c r="O118" s="821" t="s">
        <v>886</v>
      </c>
      <c r="P118" s="819">
        <v>24155</v>
      </c>
      <c r="Q118" s="820">
        <v>241.55</v>
      </c>
      <c r="R118" t="str">
        <f t="shared" si="1"/>
        <v>201705</v>
      </c>
      <c r="S118" s="405">
        <f>Q118</f>
        <v>241.55</v>
      </c>
    </row>
    <row r="119" spans="1:19">
      <c r="A119" s="821" t="s">
        <v>877</v>
      </c>
      <c r="B119" s="821" t="s">
        <v>878</v>
      </c>
      <c r="C119" s="821" t="s">
        <v>879</v>
      </c>
      <c r="D119" s="821" t="s">
        <v>880</v>
      </c>
      <c r="E119" s="821" t="s">
        <v>880</v>
      </c>
      <c r="F119" s="821" t="s">
        <v>881</v>
      </c>
      <c r="G119" s="821" t="s">
        <v>882</v>
      </c>
      <c r="H119" s="821" t="s">
        <v>883</v>
      </c>
      <c r="I119" s="821" t="s">
        <v>976</v>
      </c>
      <c r="J119" s="821" t="s">
        <v>885</v>
      </c>
      <c r="K119" s="821" t="s">
        <v>886</v>
      </c>
      <c r="L119" s="821" t="s">
        <v>976</v>
      </c>
      <c r="M119" s="821" t="s">
        <v>887</v>
      </c>
      <c r="N119" s="821" t="s">
        <v>886</v>
      </c>
      <c r="O119" s="821" t="s">
        <v>886</v>
      </c>
      <c r="P119" s="819">
        <v>597856</v>
      </c>
      <c r="Q119" s="820">
        <v>5978.56</v>
      </c>
      <c r="R119" t="str">
        <f t="shared" si="1"/>
        <v>201705</v>
      </c>
      <c r="S119" s="405">
        <f>Q119</f>
        <v>5978.56</v>
      </c>
    </row>
    <row r="120" spans="1:19">
      <c r="A120" s="821" t="s">
        <v>877</v>
      </c>
      <c r="B120" s="821" t="s">
        <v>878</v>
      </c>
      <c r="C120" s="821" t="s">
        <v>879</v>
      </c>
      <c r="D120" s="821" t="s">
        <v>880</v>
      </c>
      <c r="E120" s="821" t="s">
        <v>880</v>
      </c>
      <c r="F120" s="821" t="s">
        <v>881</v>
      </c>
      <c r="G120" s="821" t="s">
        <v>882</v>
      </c>
      <c r="H120" s="821" t="s">
        <v>883</v>
      </c>
      <c r="I120" s="821" t="s">
        <v>976</v>
      </c>
      <c r="J120" s="821" t="s">
        <v>885</v>
      </c>
      <c r="K120" s="821" t="s">
        <v>886</v>
      </c>
      <c r="L120" s="821" t="s">
        <v>976</v>
      </c>
      <c r="M120" s="821" t="s">
        <v>887</v>
      </c>
      <c r="N120" s="821" t="s">
        <v>888</v>
      </c>
      <c r="O120" s="821" t="s">
        <v>886</v>
      </c>
      <c r="P120" s="819">
        <v>37833</v>
      </c>
      <c r="Q120" s="820">
        <v>-378.33</v>
      </c>
      <c r="R120" t="str">
        <f t="shared" si="1"/>
        <v>201705</v>
      </c>
      <c r="S120" s="405">
        <f>-Q120</f>
        <v>378.33</v>
      </c>
    </row>
    <row r="121" spans="1:19">
      <c r="A121" s="821" t="s">
        <v>877</v>
      </c>
      <c r="B121" s="821" t="s">
        <v>878</v>
      </c>
      <c r="C121" s="821" t="s">
        <v>879</v>
      </c>
      <c r="D121" s="821" t="s">
        <v>880</v>
      </c>
      <c r="E121" s="821" t="s">
        <v>880</v>
      </c>
      <c r="F121" s="821" t="s">
        <v>881</v>
      </c>
      <c r="G121" s="821" t="s">
        <v>882</v>
      </c>
      <c r="H121" s="821" t="s">
        <v>883</v>
      </c>
      <c r="I121" s="821" t="s">
        <v>977</v>
      </c>
      <c r="J121" s="821" t="s">
        <v>885</v>
      </c>
      <c r="K121" s="821" t="s">
        <v>886</v>
      </c>
      <c r="L121" s="821" t="s">
        <v>977</v>
      </c>
      <c r="M121" s="821" t="s">
        <v>887</v>
      </c>
      <c r="N121" s="821" t="s">
        <v>886</v>
      </c>
      <c r="O121" s="821" t="s">
        <v>886</v>
      </c>
      <c r="P121" s="819">
        <v>413755</v>
      </c>
      <c r="Q121" s="820">
        <v>4137.55</v>
      </c>
      <c r="R121" t="str">
        <f t="shared" si="1"/>
        <v>201706</v>
      </c>
      <c r="S121" s="405">
        <f>Q121</f>
        <v>4137.55</v>
      </c>
    </row>
    <row r="122" spans="1:19">
      <c r="A122" s="821" t="s">
        <v>877</v>
      </c>
      <c r="B122" s="821" t="s">
        <v>878</v>
      </c>
      <c r="C122" s="821" t="s">
        <v>879</v>
      </c>
      <c r="D122" s="821" t="s">
        <v>880</v>
      </c>
      <c r="E122" s="821" t="s">
        <v>880</v>
      </c>
      <c r="F122" s="821" t="s">
        <v>881</v>
      </c>
      <c r="G122" s="821" t="s">
        <v>882</v>
      </c>
      <c r="H122" s="821" t="s">
        <v>883</v>
      </c>
      <c r="I122" s="821" t="s">
        <v>978</v>
      </c>
      <c r="J122" s="821" t="s">
        <v>885</v>
      </c>
      <c r="K122" s="821" t="s">
        <v>886</v>
      </c>
      <c r="L122" s="821" t="s">
        <v>978</v>
      </c>
      <c r="M122" s="821" t="s">
        <v>887</v>
      </c>
      <c r="N122" s="821" t="s">
        <v>888</v>
      </c>
      <c r="O122" s="821" t="s">
        <v>886</v>
      </c>
      <c r="P122" s="819">
        <v>644744</v>
      </c>
      <c r="Q122" s="820">
        <v>-6447.44</v>
      </c>
      <c r="R122" t="str">
        <f t="shared" si="1"/>
        <v>201706</v>
      </c>
      <c r="S122" s="405">
        <f>-Q122</f>
        <v>6447.44</v>
      </c>
    </row>
    <row r="123" spans="1:19">
      <c r="A123" s="821" t="s">
        <v>877</v>
      </c>
      <c r="B123" s="821" t="s">
        <v>878</v>
      </c>
      <c r="C123" s="821" t="s">
        <v>879</v>
      </c>
      <c r="D123" s="821" t="s">
        <v>880</v>
      </c>
      <c r="E123" s="821" t="s">
        <v>880</v>
      </c>
      <c r="F123" s="821" t="s">
        <v>881</v>
      </c>
      <c r="G123" s="821" t="s">
        <v>882</v>
      </c>
      <c r="H123" s="821" t="s">
        <v>883</v>
      </c>
      <c r="I123" s="821" t="s">
        <v>979</v>
      </c>
      <c r="J123" s="821" t="s">
        <v>885</v>
      </c>
      <c r="K123" s="821" t="s">
        <v>886</v>
      </c>
      <c r="L123" s="821" t="s">
        <v>979</v>
      </c>
      <c r="M123" s="821" t="s">
        <v>887</v>
      </c>
      <c r="N123" s="821" t="s">
        <v>886</v>
      </c>
      <c r="O123" s="821" t="s">
        <v>886</v>
      </c>
      <c r="P123" s="819">
        <v>91755</v>
      </c>
      <c r="Q123" s="820">
        <v>917.55</v>
      </c>
      <c r="R123" t="str">
        <f t="shared" si="1"/>
        <v>201706</v>
      </c>
      <c r="S123" s="405">
        <f>Q123</f>
        <v>917.55</v>
      </c>
    </row>
    <row r="124" spans="1:19">
      <c r="A124" s="821" t="s">
        <v>877</v>
      </c>
      <c r="B124" s="821" t="s">
        <v>878</v>
      </c>
      <c r="C124" s="821" t="s">
        <v>879</v>
      </c>
      <c r="D124" s="821" t="s">
        <v>880</v>
      </c>
      <c r="E124" s="821" t="s">
        <v>880</v>
      </c>
      <c r="F124" s="821" t="s">
        <v>881</v>
      </c>
      <c r="G124" s="821" t="s">
        <v>882</v>
      </c>
      <c r="H124" s="821" t="s">
        <v>883</v>
      </c>
      <c r="I124" s="821" t="s">
        <v>980</v>
      </c>
      <c r="J124" s="821" t="s">
        <v>885</v>
      </c>
      <c r="K124" s="821" t="s">
        <v>886</v>
      </c>
      <c r="L124" s="821" t="s">
        <v>980</v>
      </c>
      <c r="M124" s="821" t="s">
        <v>887</v>
      </c>
      <c r="N124" s="821" t="s">
        <v>886</v>
      </c>
      <c r="O124" s="821" t="s">
        <v>886</v>
      </c>
      <c r="P124" s="819">
        <v>1053567</v>
      </c>
      <c r="Q124" s="820">
        <v>10535.67</v>
      </c>
      <c r="R124" t="str">
        <f t="shared" si="1"/>
        <v>201706</v>
      </c>
      <c r="S124" s="405">
        <f>Q124</f>
        <v>10535.67</v>
      </c>
    </row>
    <row r="125" spans="1:19">
      <c r="A125" s="821" t="s">
        <v>877</v>
      </c>
      <c r="B125" s="821" t="s">
        <v>878</v>
      </c>
      <c r="C125" s="821" t="s">
        <v>879</v>
      </c>
      <c r="D125" s="821" t="s">
        <v>880</v>
      </c>
      <c r="E125" s="821" t="s">
        <v>880</v>
      </c>
      <c r="F125" s="821" t="s">
        <v>881</v>
      </c>
      <c r="G125" s="821" t="s">
        <v>882</v>
      </c>
      <c r="H125" s="821" t="s">
        <v>883</v>
      </c>
      <c r="I125" s="821" t="s">
        <v>981</v>
      </c>
      <c r="J125" s="821" t="s">
        <v>885</v>
      </c>
      <c r="K125" s="821" t="s">
        <v>886</v>
      </c>
      <c r="L125" s="821" t="s">
        <v>981</v>
      </c>
      <c r="M125" s="821" t="s">
        <v>887</v>
      </c>
      <c r="N125" s="821" t="s">
        <v>888</v>
      </c>
      <c r="O125" s="821" t="s">
        <v>886</v>
      </c>
      <c r="P125" s="819">
        <v>551844</v>
      </c>
      <c r="Q125" s="820">
        <v>-5518.44</v>
      </c>
      <c r="R125" t="str">
        <f t="shared" si="1"/>
        <v>201706</v>
      </c>
      <c r="S125" s="405">
        <f>-Q125</f>
        <v>5518.44</v>
      </c>
    </row>
    <row r="126" spans="1:19">
      <c r="A126" s="821" t="s">
        <v>877</v>
      </c>
      <c r="B126" s="821" t="s">
        <v>878</v>
      </c>
      <c r="C126" s="821" t="s">
        <v>879</v>
      </c>
      <c r="D126" s="821" t="s">
        <v>880</v>
      </c>
      <c r="E126" s="821" t="s">
        <v>880</v>
      </c>
      <c r="F126" s="821" t="s">
        <v>881</v>
      </c>
      <c r="G126" s="821" t="s">
        <v>882</v>
      </c>
      <c r="H126" s="821" t="s">
        <v>883</v>
      </c>
      <c r="I126" s="821" t="s">
        <v>982</v>
      </c>
      <c r="J126" s="821" t="s">
        <v>885</v>
      </c>
      <c r="K126" s="821" t="s">
        <v>886</v>
      </c>
      <c r="L126" s="821" t="s">
        <v>982</v>
      </c>
      <c r="M126" s="821" t="s">
        <v>887</v>
      </c>
      <c r="N126" s="821" t="s">
        <v>888</v>
      </c>
      <c r="O126" s="821" t="s">
        <v>886</v>
      </c>
      <c r="P126" s="819">
        <v>457200</v>
      </c>
      <c r="Q126" s="820">
        <v>-4572</v>
      </c>
      <c r="R126" t="str">
        <f t="shared" si="1"/>
        <v>201706</v>
      </c>
      <c r="S126" s="405">
        <f>-Q126</f>
        <v>4572</v>
      </c>
    </row>
    <row r="127" spans="1:19">
      <c r="A127" s="821" t="s">
        <v>877</v>
      </c>
      <c r="B127" s="821" t="s">
        <v>878</v>
      </c>
      <c r="C127" s="821" t="s">
        <v>879</v>
      </c>
      <c r="D127" s="821" t="s">
        <v>880</v>
      </c>
      <c r="E127" s="821" t="s">
        <v>880</v>
      </c>
      <c r="F127" s="821" t="s">
        <v>881</v>
      </c>
      <c r="G127" s="821" t="s">
        <v>882</v>
      </c>
      <c r="H127" s="821" t="s">
        <v>883</v>
      </c>
      <c r="I127" s="821" t="s">
        <v>983</v>
      </c>
      <c r="J127" s="821" t="s">
        <v>885</v>
      </c>
      <c r="K127" s="821" t="s">
        <v>886</v>
      </c>
      <c r="L127" s="821" t="s">
        <v>983</v>
      </c>
      <c r="M127" s="821" t="s">
        <v>887</v>
      </c>
      <c r="N127" s="821" t="s">
        <v>886</v>
      </c>
      <c r="O127" s="821" t="s">
        <v>886</v>
      </c>
      <c r="P127" s="819">
        <v>955392</v>
      </c>
      <c r="Q127" s="820">
        <v>9553.92</v>
      </c>
      <c r="R127" t="str">
        <f t="shared" si="1"/>
        <v>201706</v>
      </c>
      <c r="S127" s="405">
        <f>Q127</f>
        <v>9553.92</v>
      </c>
    </row>
    <row r="128" spans="1:19">
      <c r="A128" s="821" t="s">
        <v>877</v>
      </c>
      <c r="B128" s="821" t="s">
        <v>878</v>
      </c>
      <c r="C128" s="821" t="s">
        <v>879</v>
      </c>
      <c r="D128" s="821" t="s">
        <v>880</v>
      </c>
      <c r="E128" s="821" t="s">
        <v>880</v>
      </c>
      <c r="F128" s="821" t="s">
        <v>881</v>
      </c>
      <c r="G128" s="821" t="s">
        <v>882</v>
      </c>
      <c r="H128" s="821" t="s">
        <v>883</v>
      </c>
      <c r="I128" s="821" t="s">
        <v>984</v>
      </c>
      <c r="J128" s="821" t="s">
        <v>885</v>
      </c>
      <c r="K128" s="821" t="s">
        <v>886</v>
      </c>
      <c r="L128" s="821" t="s">
        <v>984</v>
      </c>
      <c r="M128" s="821" t="s">
        <v>887</v>
      </c>
      <c r="N128" s="821" t="s">
        <v>888</v>
      </c>
      <c r="O128" s="821" t="s">
        <v>886</v>
      </c>
      <c r="P128" s="819">
        <v>167501</v>
      </c>
      <c r="Q128" s="820">
        <v>-1675.01</v>
      </c>
      <c r="R128" t="str">
        <f t="shared" si="1"/>
        <v>201706</v>
      </c>
      <c r="S128" s="405">
        <f>-Q128</f>
        <v>1675.01</v>
      </c>
    </row>
    <row r="129" spans="1:19">
      <c r="A129" s="821" t="s">
        <v>877</v>
      </c>
      <c r="B129" s="821" t="s">
        <v>878</v>
      </c>
      <c r="C129" s="821" t="s">
        <v>879</v>
      </c>
      <c r="D129" s="821" t="s">
        <v>880</v>
      </c>
      <c r="E129" s="821" t="s">
        <v>880</v>
      </c>
      <c r="F129" s="821" t="s">
        <v>881</v>
      </c>
      <c r="G129" s="821" t="s">
        <v>882</v>
      </c>
      <c r="H129" s="821" t="s">
        <v>883</v>
      </c>
      <c r="I129" s="821" t="s">
        <v>985</v>
      </c>
      <c r="J129" s="821" t="s">
        <v>885</v>
      </c>
      <c r="K129" s="821" t="s">
        <v>886</v>
      </c>
      <c r="L129" s="821" t="s">
        <v>985</v>
      </c>
      <c r="M129" s="821" t="s">
        <v>887</v>
      </c>
      <c r="N129" s="821" t="s">
        <v>888</v>
      </c>
      <c r="O129" s="821" t="s">
        <v>886</v>
      </c>
      <c r="P129" s="819">
        <v>52602</v>
      </c>
      <c r="Q129" s="820">
        <v>-526.02</v>
      </c>
      <c r="R129" t="str">
        <f t="shared" si="1"/>
        <v>201706</v>
      </c>
      <c r="S129" s="405">
        <f>-Q129</f>
        <v>526.02</v>
      </c>
    </row>
    <row r="130" spans="1:19">
      <c r="A130" s="821" t="s">
        <v>877</v>
      </c>
      <c r="B130" s="821" t="s">
        <v>878</v>
      </c>
      <c r="C130" s="821" t="s">
        <v>879</v>
      </c>
      <c r="D130" s="821" t="s">
        <v>880</v>
      </c>
      <c r="E130" s="821" t="s">
        <v>880</v>
      </c>
      <c r="F130" s="821" t="s">
        <v>881</v>
      </c>
      <c r="G130" s="821" t="s">
        <v>882</v>
      </c>
      <c r="H130" s="821" t="s">
        <v>883</v>
      </c>
      <c r="I130" s="821" t="s">
        <v>986</v>
      </c>
      <c r="J130" s="821" t="s">
        <v>885</v>
      </c>
      <c r="K130" s="821" t="s">
        <v>886</v>
      </c>
      <c r="L130" s="821" t="s">
        <v>986</v>
      </c>
      <c r="M130" s="821" t="s">
        <v>887</v>
      </c>
      <c r="N130" s="821" t="s">
        <v>886</v>
      </c>
      <c r="O130" s="821" t="s">
        <v>886</v>
      </c>
      <c r="P130" s="819">
        <v>641529</v>
      </c>
      <c r="Q130" s="820">
        <v>6415.29</v>
      </c>
      <c r="R130" t="str">
        <f t="shared" si="1"/>
        <v>201706</v>
      </c>
      <c r="S130" s="405">
        <f>Q130</f>
        <v>6415.29</v>
      </c>
    </row>
    <row r="131" spans="1:19">
      <c r="A131" s="821" t="s">
        <v>877</v>
      </c>
      <c r="B131" s="821" t="s">
        <v>878</v>
      </c>
      <c r="C131" s="821" t="s">
        <v>879</v>
      </c>
      <c r="D131" s="821" t="s">
        <v>880</v>
      </c>
      <c r="E131" s="821" t="s">
        <v>880</v>
      </c>
      <c r="F131" s="821" t="s">
        <v>881</v>
      </c>
      <c r="G131" s="821" t="s">
        <v>882</v>
      </c>
      <c r="H131" s="821" t="s">
        <v>883</v>
      </c>
      <c r="I131" s="821" t="s">
        <v>987</v>
      </c>
      <c r="J131" s="821" t="s">
        <v>885</v>
      </c>
      <c r="K131" s="821" t="s">
        <v>886</v>
      </c>
      <c r="L131" s="821" t="s">
        <v>987</v>
      </c>
      <c r="M131" s="821" t="s">
        <v>887</v>
      </c>
      <c r="N131" s="821" t="s">
        <v>888</v>
      </c>
      <c r="O131" s="821" t="s">
        <v>886</v>
      </c>
      <c r="P131" s="819">
        <v>421895</v>
      </c>
      <c r="Q131" s="820">
        <v>-4218.95</v>
      </c>
      <c r="R131" t="str">
        <f t="shared" ref="R131:R194" si="3">MID(L131,1,6)</f>
        <v>201706</v>
      </c>
      <c r="S131" s="405">
        <f>-Q131</f>
        <v>4218.95</v>
      </c>
    </row>
    <row r="132" spans="1:19">
      <c r="A132" s="821" t="s">
        <v>877</v>
      </c>
      <c r="B132" s="821" t="s">
        <v>878</v>
      </c>
      <c r="C132" s="821" t="s">
        <v>879</v>
      </c>
      <c r="D132" s="821" t="s">
        <v>880</v>
      </c>
      <c r="E132" s="821" t="s">
        <v>880</v>
      </c>
      <c r="F132" s="821" t="s">
        <v>881</v>
      </c>
      <c r="G132" s="821" t="s">
        <v>882</v>
      </c>
      <c r="H132" s="821" t="s">
        <v>883</v>
      </c>
      <c r="I132" s="821" t="s">
        <v>988</v>
      </c>
      <c r="J132" s="821" t="s">
        <v>885</v>
      </c>
      <c r="K132" s="821" t="s">
        <v>886</v>
      </c>
      <c r="L132" s="821" t="s">
        <v>988</v>
      </c>
      <c r="M132" s="821" t="s">
        <v>887</v>
      </c>
      <c r="N132" s="821" t="s">
        <v>886</v>
      </c>
      <c r="O132" s="821" t="s">
        <v>886</v>
      </c>
      <c r="P132" s="819">
        <v>57433</v>
      </c>
      <c r="Q132" s="820">
        <v>574.33000000000004</v>
      </c>
      <c r="R132" t="str">
        <f t="shared" si="3"/>
        <v>201706</v>
      </c>
      <c r="S132" s="405">
        <f>Q132</f>
        <v>574.33000000000004</v>
      </c>
    </row>
    <row r="133" spans="1:19">
      <c r="A133" s="821" t="s">
        <v>877</v>
      </c>
      <c r="B133" s="821" t="s">
        <v>878</v>
      </c>
      <c r="C133" s="821" t="s">
        <v>879</v>
      </c>
      <c r="D133" s="821" t="s">
        <v>880</v>
      </c>
      <c r="E133" s="821" t="s">
        <v>880</v>
      </c>
      <c r="F133" s="821" t="s">
        <v>881</v>
      </c>
      <c r="G133" s="821" t="s">
        <v>882</v>
      </c>
      <c r="H133" s="821" t="s">
        <v>883</v>
      </c>
      <c r="I133" s="821" t="s">
        <v>989</v>
      </c>
      <c r="J133" s="821" t="s">
        <v>885</v>
      </c>
      <c r="K133" s="821" t="s">
        <v>886</v>
      </c>
      <c r="L133" s="821" t="s">
        <v>989</v>
      </c>
      <c r="M133" s="821" t="s">
        <v>887</v>
      </c>
      <c r="N133" s="821" t="s">
        <v>886</v>
      </c>
      <c r="O133" s="821" t="s">
        <v>886</v>
      </c>
      <c r="P133" s="819">
        <v>160683</v>
      </c>
      <c r="Q133" s="820">
        <v>1606.83</v>
      </c>
      <c r="R133" t="str">
        <f t="shared" si="3"/>
        <v>201706</v>
      </c>
      <c r="S133" s="405">
        <f>Q133</f>
        <v>1606.83</v>
      </c>
    </row>
    <row r="134" spans="1:19">
      <c r="A134" s="821" t="s">
        <v>877</v>
      </c>
      <c r="B134" s="821" t="s">
        <v>878</v>
      </c>
      <c r="C134" s="821" t="s">
        <v>879</v>
      </c>
      <c r="D134" s="821" t="s">
        <v>880</v>
      </c>
      <c r="E134" s="821" t="s">
        <v>880</v>
      </c>
      <c r="F134" s="821" t="s">
        <v>881</v>
      </c>
      <c r="G134" s="821" t="s">
        <v>882</v>
      </c>
      <c r="H134" s="821" t="s">
        <v>883</v>
      </c>
      <c r="I134" s="821" t="s">
        <v>989</v>
      </c>
      <c r="J134" s="821" t="s">
        <v>885</v>
      </c>
      <c r="K134" s="821" t="s">
        <v>886</v>
      </c>
      <c r="L134" s="821" t="s">
        <v>989</v>
      </c>
      <c r="M134" s="821" t="s">
        <v>887</v>
      </c>
      <c r="N134" s="821" t="s">
        <v>886</v>
      </c>
      <c r="O134" s="821" t="s">
        <v>886</v>
      </c>
      <c r="P134" s="819">
        <v>28000000</v>
      </c>
      <c r="Q134" s="794">
        <v>280000</v>
      </c>
      <c r="R134" t="str">
        <f t="shared" si="3"/>
        <v>201706</v>
      </c>
      <c r="S134" s="405">
        <f>Q134</f>
        <v>280000</v>
      </c>
    </row>
    <row r="135" spans="1:19">
      <c r="A135" s="821" t="s">
        <v>877</v>
      </c>
      <c r="B135" s="821" t="s">
        <v>878</v>
      </c>
      <c r="C135" s="821" t="s">
        <v>879</v>
      </c>
      <c r="D135" s="821" t="s">
        <v>880</v>
      </c>
      <c r="E135" s="821" t="s">
        <v>880</v>
      </c>
      <c r="F135" s="821" t="s">
        <v>881</v>
      </c>
      <c r="G135" s="821" t="s">
        <v>882</v>
      </c>
      <c r="H135" s="821" t="s">
        <v>883</v>
      </c>
      <c r="I135" s="821" t="s">
        <v>989</v>
      </c>
      <c r="J135" s="821" t="s">
        <v>885</v>
      </c>
      <c r="K135" s="821" t="s">
        <v>886</v>
      </c>
      <c r="L135" s="821" t="s">
        <v>989</v>
      </c>
      <c r="M135" s="821" t="s">
        <v>887</v>
      </c>
      <c r="N135" s="821" t="s">
        <v>888</v>
      </c>
      <c r="O135" s="821" t="s">
        <v>886</v>
      </c>
      <c r="P135" s="819">
        <v>47587</v>
      </c>
      <c r="Q135" s="820">
        <v>-475.87</v>
      </c>
      <c r="R135" t="str">
        <f t="shared" si="3"/>
        <v>201706</v>
      </c>
      <c r="S135" s="405">
        <f>-Q135</f>
        <v>475.87</v>
      </c>
    </row>
    <row r="136" spans="1:19">
      <c r="A136" s="821" t="s">
        <v>877</v>
      </c>
      <c r="B136" s="821" t="s">
        <v>878</v>
      </c>
      <c r="C136" s="821" t="s">
        <v>879</v>
      </c>
      <c r="D136" s="821" t="s">
        <v>880</v>
      </c>
      <c r="E136" s="821" t="s">
        <v>880</v>
      </c>
      <c r="F136" s="821" t="s">
        <v>881</v>
      </c>
      <c r="G136" s="821" t="s">
        <v>882</v>
      </c>
      <c r="H136" s="821" t="s">
        <v>883</v>
      </c>
      <c r="I136" s="821" t="s">
        <v>990</v>
      </c>
      <c r="J136" s="821" t="s">
        <v>885</v>
      </c>
      <c r="K136" s="821" t="s">
        <v>886</v>
      </c>
      <c r="L136" s="821" t="s">
        <v>990</v>
      </c>
      <c r="M136" s="821" t="s">
        <v>887</v>
      </c>
      <c r="N136" s="821" t="s">
        <v>888</v>
      </c>
      <c r="O136" s="821" t="s">
        <v>886</v>
      </c>
      <c r="P136" s="819">
        <v>174688</v>
      </c>
      <c r="Q136" s="820">
        <v>-1746.88</v>
      </c>
      <c r="R136" t="str">
        <f t="shared" si="3"/>
        <v>201706</v>
      </c>
      <c r="S136" s="405">
        <f>-Q136</f>
        <v>1746.88</v>
      </c>
    </row>
    <row r="137" spans="1:19">
      <c r="A137" s="821" t="s">
        <v>877</v>
      </c>
      <c r="B137" s="821" t="s">
        <v>878</v>
      </c>
      <c r="C137" s="821" t="s">
        <v>879</v>
      </c>
      <c r="D137" s="821" t="s">
        <v>880</v>
      </c>
      <c r="E137" s="821" t="s">
        <v>880</v>
      </c>
      <c r="F137" s="821" t="s">
        <v>881</v>
      </c>
      <c r="G137" s="821" t="s">
        <v>882</v>
      </c>
      <c r="H137" s="821" t="s">
        <v>883</v>
      </c>
      <c r="I137" s="821" t="s">
        <v>990</v>
      </c>
      <c r="J137" s="821" t="s">
        <v>885</v>
      </c>
      <c r="K137" s="821" t="s">
        <v>886</v>
      </c>
      <c r="L137" s="821" t="s">
        <v>990</v>
      </c>
      <c r="M137" s="821" t="s">
        <v>887</v>
      </c>
      <c r="N137" s="821" t="s">
        <v>886</v>
      </c>
      <c r="O137" s="821" t="s">
        <v>886</v>
      </c>
      <c r="P137" s="819">
        <v>20000000</v>
      </c>
      <c r="Q137" s="794">
        <v>200000</v>
      </c>
      <c r="R137" t="str">
        <f t="shared" si="3"/>
        <v>201706</v>
      </c>
      <c r="S137" s="405">
        <f>Q137</f>
        <v>200000</v>
      </c>
    </row>
    <row r="138" spans="1:19">
      <c r="A138" s="821" t="s">
        <v>877</v>
      </c>
      <c r="B138" s="821" t="s">
        <v>878</v>
      </c>
      <c r="C138" s="821" t="s">
        <v>879</v>
      </c>
      <c r="D138" s="821" t="s">
        <v>880</v>
      </c>
      <c r="E138" s="821" t="s">
        <v>880</v>
      </c>
      <c r="F138" s="821" t="s">
        <v>881</v>
      </c>
      <c r="G138" s="821" t="s">
        <v>882</v>
      </c>
      <c r="H138" s="821" t="s">
        <v>883</v>
      </c>
      <c r="I138" s="821" t="s">
        <v>990</v>
      </c>
      <c r="J138" s="821" t="s">
        <v>885</v>
      </c>
      <c r="K138" s="821" t="s">
        <v>886</v>
      </c>
      <c r="L138" s="821" t="s">
        <v>990</v>
      </c>
      <c r="M138" s="821" t="s">
        <v>887</v>
      </c>
      <c r="N138" s="821" t="s">
        <v>888</v>
      </c>
      <c r="O138" s="821" t="s">
        <v>886</v>
      </c>
      <c r="P138" s="819">
        <v>239126</v>
      </c>
      <c r="Q138" s="820">
        <v>-2391.2600000000002</v>
      </c>
      <c r="R138" t="str">
        <f t="shared" si="3"/>
        <v>201706</v>
      </c>
      <c r="S138" s="405">
        <f>-Q138</f>
        <v>2391.2600000000002</v>
      </c>
    </row>
    <row r="139" spans="1:19">
      <c r="A139" s="821" t="s">
        <v>877</v>
      </c>
      <c r="B139" s="821" t="s">
        <v>878</v>
      </c>
      <c r="C139" s="821" t="s">
        <v>879</v>
      </c>
      <c r="D139" s="821" t="s">
        <v>880</v>
      </c>
      <c r="E139" s="821" t="s">
        <v>880</v>
      </c>
      <c r="F139" s="821" t="s">
        <v>881</v>
      </c>
      <c r="G139" s="821" t="s">
        <v>882</v>
      </c>
      <c r="H139" s="821" t="s">
        <v>883</v>
      </c>
      <c r="I139" s="821" t="s">
        <v>991</v>
      </c>
      <c r="J139" s="821" t="s">
        <v>885</v>
      </c>
      <c r="K139" s="821" t="s">
        <v>886</v>
      </c>
      <c r="L139" s="821" t="s">
        <v>991</v>
      </c>
      <c r="M139" s="821" t="s">
        <v>887</v>
      </c>
      <c r="N139" s="821" t="s">
        <v>886</v>
      </c>
      <c r="O139" s="821" t="s">
        <v>886</v>
      </c>
      <c r="P139" s="819">
        <v>687620</v>
      </c>
      <c r="Q139" s="820">
        <v>6876.2</v>
      </c>
      <c r="R139" t="str">
        <f t="shared" si="3"/>
        <v>201706</v>
      </c>
      <c r="S139" s="405">
        <f>Q139</f>
        <v>6876.2</v>
      </c>
    </row>
    <row r="140" spans="1:19">
      <c r="A140" s="821" t="s">
        <v>877</v>
      </c>
      <c r="B140" s="821" t="s">
        <v>878</v>
      </c>
      <c r="C140" s="821" t="s">
        <v>879</v>
      </c>
      <c r="D140" s="821" t="s">
        <v>880</v>
      </c>
      <c r="E140" s="821" t="s">
        <v>880</v>
      </c>
      <c r="F140" s="821" t="s">
        <v>881</v>
      </c>
      <c r="G140" s="821" t="s">
        <v>882</v>
      </c>
      <c r="H140" s="821" t="s">
        <v>883</v>
      </c>
      <c r="I140" s="821" t="s">
        <v>992</v>
      </c>
      <c r="J140" s="821" t="s">
        <v>885</v>
      </c>
      <c r="K140" s="821" t="s">
        <v>886</v>
      </c>
      <c r="L140" s="821" t="s">
        <v>992</v>
      </c>
      <c r="M140" s="821" t="s">
        <v>887</v>
      </c>
      <c r="N140" s="821" t="s">
        <v>886</v>
      </c>
      <c r="O140" s="821" t="s">
        <v>886</v>
      </c>
      <c r="P140" s="819">
        <v>434528</v>
      </c>
      <c r="Q140" s="820">
        <v>4345.28</v>
      </c>
      <c r="R140" t="str">
        <f t="shared" si="3"/>
        <v>201706</v>
      </c>
      <c r="S140" s="405">
        <f>Q140</f>
        <v>4345.28</v>
      </c>
    </row>
    <row r="141" spans="1:19">
      <c r="A141" s="821" t="s">
        <v>877</v>
      </c>
      <c r="B141" s="821" t="s">
        <v>878</v>
      </c>
      <c r="C141" s="821" t="s">
        <v>879</v>
      </c>
      <c r="D141" s="821" t="s">
        <v>880</v>
      </c>
      <c r="E141" s="821" t="s">
        <v>880</v>
      </c>
      <c r="F141" s="821" t="s">
        <v>881</v>
      </c>
      <c r="G141" s="821" t="s">
        <v>882</v>
      </c>
      <c r="H141" s="821" t="s">
        <v>883</v>
      </c>
      <c r="I141" s="821" t="s">
        <v>992</v>
      </c>
      <c r="J141" s="821" t="s">
        <v>885</v>
      </c>
      <c r="K141" s="821" t="s">
        <v>886</v>
      </c>
      <c r="L141" s="821" t="s">
        <v>992</v>
      </c>
      <c r="M141" s="821" t="s">
        <v>887</v>
      </c>
      <c r="N141" s="821" t="s">
        <v>888</v>
      </c>
      <c r="O141" s="821" t="s">
        <v>886</v>
      </c>
      <c r="P141" s="819">
        <v>52683</v>
      </c>
      <c r="Q141" s="820">
        <v>-526.83000000000004</v>
      </c>
      <c r="R141" t="str">
        <f t="shared" si="3"/>
        <v>201706</v>
      </c>
      <c r="S141" s="405">
        <f>-Q141</f>
        <v>526.83000000000004</v>
      </c>
    </row>
    <row r="142" spans="1:19">
      <c r="A142" s="821" t="s">
        <v>877</v>
      </c>
      <c r="B142" s="821" t="s">
        <v>878</v>
      </c>
      <c r="C142" s="821" t="s">
        <v>879</v>
      </c>
      <c r="D142" s="821" t="s">
        <v>880</v>
      </c>
      <c r="E142" s="821" t="s">
        <v>880</v>
      </c>
      <c r="F142" s="821" t="s">
        <v>881</v>
      </c>
      <c r="G142" s="821" t="s">
        <v>882</v>
      </c>
      <c r="H142" s="821" t="s">
        <v>883</v>
      </c>
      <c r="I142" s="821" t="s">
        <v>993</v>
      </c>
      <c r="J142" s="821" t="s">
        <v>885</v>
      </c>
      <c r="K142" s="821" t="s">
        <v>886</v>
      </c>
      <c r="L142" s="821" t="s">
        <v>993</v>
      </c>
      <c r="M142" s="821" t="s">
        <v>887</v>
      </c>
      <c r="N142" s="821" t="s">
        <v>888</v>
      </c>
      <c r="O142" s="821" t="s">
        <v>886</v>
      </c>
      <c r="P142" s="819">
        <v>39070</v>
      </c>
      <c r="Q142" s="820">
        <v>-390.7</v>
      </c>
      <c r="R142" t="str">
        <f t="shared" si="3"/>
        <v>201706</v>
      </c>
      <c r="S142" s="405">
        <f>-Q142</f>
        <v>390.7</v>
      </c>
    </row>
    <row r="143" spans="1:19">
      <c r="A143" s="821" t="s">
        <v>877</v>
      </c>
      <c r="B143" s="821" t="s">
        <v>878</v>
      </c>
      <c r="C143" s="821" t="s">
        <v>879</v>
      </c>
      <c r="D143" s="821" t="s">
        <v>880</v>
      </c>
      <c r="E143" s="821" t="s">
        <v>880</v>
      </c>
      <c r="F143" s="821" t="s">
        <v>881</v>
      </c>
      <c r="G143" s="821" t="s">
        <v>882</v>
      </c>
      <c r="H143" s="821" t="s">
        <v>883</v>
      </c>
      <c r="I143" s="821" t="s">
        <v>994</v>
      </c>
      <c r="J143" s="821" t="s">
        <v>885</v>
      </c>
      <c r="K143" s="821" t="s">
        <v>886</v>
      </c>
      <c r="L143" s="821" t="s">
        <v>994</v>
      </c>
      <c r="M143" s="821" t="s">
        <v>887</v>
      </c>
      <c r="N143" s="821" t="s">
        <v>886</v>
      </c>
      <c r="O143" s="821" t="s">
        <v>886</v>
      </c>
      <c r="P143" s="819">
        <v>246753</v>
      </c>
      <c r="Q143" s="820">
        <v>2467.5300000000002</v>
      </c>
      <c r="R143" t="str">
        <f t="shared" si="3"/>
        <v>201706</v>
      </c>
      <c r="S143" s="405">
        <f>Q143</f>
        <v>2467.5300000000002</v>
      </c>
    </row>
    <row r="144" spans="1:19">
      <c r="A144" s="821" t="s">
        <v>877</v>
      </c>
      <c r="B144" s="821" t="s">
        <v>878</v>
      </c>
      <c r="C144" s="821" t="s">
        <v>879</v>
      </c>
      <c r="D144" s="821" t="s">
        <v>880</v>
      </c>
      <c r="E144" s="821" t="s">
        <v>880</v>
      </c>
      <c r="F144" s="821" t="s">
        <v>881</v>
      </c>
      <c r="G144" s="821" t="s">
        <v>882</v>
      </c>
      <c r="H144" s="821" t="s">
        <v>883</v>
      </c>
      <c r="I144" s="821" t="s">
        <v>994</v>
      </c>
      <c r="J144" s="821" t="s">
        <v>885</v>
      </c>
      <c r="K144" s="821" t="s">
        <v>886</v>
      </c>
      <c r="L144" s="821" t="s">
        <v>994</v>
      </c>
      <c r="M144" s="821" t="s">
        <v>887</v>
      </c>
      <c r="N144" s="821" t="s">
        <v>888</v>
      </c>
      <c r="O144" s="821" t="s">
        <v>886</v>
      </c>
      <c r="P144" s="819">
        <v>378984</v>
      </c>
      <c r="Q144" s="820">
        <v>-3789.84</v>
      </c>
      <c r="R144" t="str">
        <f t="shared" si="3"/>
        <v>201706</v>
      </c>
      <c r="S144" s="405">
        <f>-Q144</f>
        <v>3789.84</v>
      </c>
    </row>
    <row r="145" spans="1:19">
      <c r="A145" s="821" t="s">
        <v>877</v>
      </c>
      <c r="B145" s="821" t="s">
        <v>878</v>
      </c>
      <c r="C145" s="821" t="s">
        <v>879</v>
      </c>
      <c r="D145" s="821" t="s">
        <v>880</v>
      </c>
      <c r="E145" s="821" t="s">
        <v>880</v>
      </c>
      <c r="F145" s="821" t="s">
        <v>881</v>
      </c>
      <c r="G145" s="821" t="s">
        <v>882</v>
      </c>
      <c r="H145" s="821" t="s">
        <v>883</v>
      </c>
      <c r="I145" s="821" t="s">
        <v>995</v>
      </c>
      <c r="J145" s="821" t="s">
        <v>885</v>
      </c>
      <c r="K145" s="821" t="s">
        <v>886</v>
      </c>
      <c r="L145" s="821" t="s">
        <v>995</v>
      </c>
      <c r="M145" s="821" t="s">
        <v>887</v>
      </c>
      <c r="N145" s="821" t="s">
        <v>888</v>
      </c>
      <c r="O145" s="821" t="s">
        <v>886</v>
      </c>
      <c r="P145" s="819">
        <v>261929</v>
      </c>
      <c r="Q145" s="820">
        <v>-2619.29</v>
      </c>
      <c r="R145" t="str">
        <f t="shared" si="3"/>
        <v>201707</v>
      </c>
      <c r="S145" s="405">
        <f>-Q145</f>
        <v>2619.29</v>
      </c>
    </row>
    <row r="146" spans="1:19">
      <c r="A146" s="821" t="s">
        <v>877</v>
      </c>
      <c r="B146" s="821" t="s">
        <v>878</v>
      </c>
      <c r="C146" s="821" t="s">
        <v>879</v>
      </c>
      <c r="D146" s="821" t="s">
        <v>880</v>
      </c>
      <c r="E146" s="821" t="s">
        <v>880</v>
      </c>
      <c r="F146" s="821" t="s">
        <v>881</v>
      </c>
      <c r="G146" s="821" t="s">
        <v>882</v>
      </c>
      <c r="H146" s="821" t="s">
        <v>883</v>
      </c>
      <c r="I146" s="821" t="s">
        <v>996</v>
      </c>
      <c r="J146" s="821" t="s">
        <v>885</v>
      </c>
      <c r="K146" s="821" t="s">
        <v>886</v>
      </c>
      <c r="L146" s="821" t="s">
        <v>996</v>
      </c>
      <c r="M146" s="821" t="s">
        <v>887</v>
      </c>
      <c r="N146" s="821" t="s">
        <v>886</v>
      </c>
      <c r="O146" s="821" t="s">
        <v>886</v>
      </c>
      <c r="P146" s="819">
        <v>559578</v>
      </c>
      <c r="Q146" s="820">
        <v>5595.78</v>
      </c>
      <c r="R146" t="str">
        <f t="shared" si="3"/>
        <v>201707</v>
      </c>
      <c r="S146" s="405">
        <f>Q146</f>
        <v>5595.78</v>
      </c>
    </row>
    <row r="147" spans="1:19">
      <c r="A147" s="821" t="s">
        <v>877</v>
      </c>
      <c r="B147" s="821" t="s">
        <v>878</v>
      </c>
      <c r="C147" s="821" t="s">
        <v>879</v>
      </c>
      <c r="D147" s="821" t="s">
        <v>880</v>
      </c>
      <c r="E147" s="821" t="s">
        <v>880</v>
      </c>
      <c r="F147" s="821" t="s">
        <v>881</v>
      </c>
      <c r="G147" s="821" t="s">
        <v>882</v>
      </c>
      <c r="H147" s="821" t="s">
        <v>883</v>
      </c>
      <c r="I147" s="821" t="s">
        <v>997</v>
      </c>
      <c r="J147" s="821" t="s">
        <v>885</v>
      </c>
      <c r="K147" s="821" t="s">
        <v>886</v>
      </c>
      <c r="L147" s="821" t="s">
        <v>997</v>
      </c>
      <c r="M147" s="821" t="s">
        <v>887</v>
      </c>
      <c r="N147" s="821" t="s">
        <v>888</v>
      </c>
      <c r="O147" s="821" t="s">
        <v>886</v>
      </c>
      <c r="P147" s="819">
        <v>422202</v>
      </c>
      <c r="Q147" s="820">
        <v>-4222.0200000000004</v>
      </c>
      <c r="R147" t="str">
        <f t="shared" si="3"/>
        <v>201707</v>
      </c>
      <c r="S147" s="405">
        <f>-Q147</f>
        <v>4222.0200000000004</v>
      </c>
    </row>
    <row r="148" spans="1:19">
      <c r="A148" s="821" t="s">
        <v>877</v>
      </c>
      <c r="B148" s="821" t="s">
        <v>878</v>
      </c>
      <c r="C148" s="821" t="s">
        <v>879</v>
      </c>
      <c r="D148" s="821" t="s">
        <v>880</v>
      </c>
      <c r="E148" s="821" t="s">
        <v>880</v>
      </c>
      <c r="F148" s="821" t="s">
        <v>881</v>
      </c>
      <c r="G148" s="821" t="s">
        <v>882</v>
      </c>
      <c r="H148" s="821" t="s">
        <v>883</v>
      </c>
      <c r="I148" s="821" t="s">
        <v>997</v>
      </c>
      <c r="J148" s="821" t="s">
        <v>885</v>
      </c>
      <c r="K148" s="821" t="s">
        <v>886</v>
      </c>
      <c r="L148" s="821" t="s">
        <v>997</v>
      </c>
      <c r="M148" s="821" t="s">
        <v>887</v>
      </c>
      <c r="N148" s="821" t="s">
        <v>888</v>
      </c>
      <c r="O148" s="821" t="s">
        <v>886</v>
      </c>
      <c r="P148" s="819">
        <v>162845</v>
      </c>
      <c r="Q148" s="820">
        <v>-1628.45</v>
      </c>
      <c r="R148" t="str">
        <f t="shared" si="3"/>
        <v>201707</v>
      </c>
      <c r="S148" s="405">
        <f>-Q148</f>
        <v>1628.45</v>
      </c>
    </row>
    <row r="149" spans="1:19">
      <c r="A149" s="821" t="s">
        <v>877</v>
      </c>
      <c r="B149" s="821" t="s">
        <v>878</v>
      </c>
      <c r="C149" s="821" t="s">
        <v>879</v>
      </c>
      <c r="D149" s="821" t="s">
        <v>880</v>
      </c>
      <c r="E149" s="821" t="s">
        <v>880</v>
      </c>
      <c r="F149" s="821" t="s">
        <v>881</v>
      </c>
      <c r="G149" s="821" t="s">
        <v>882</v>
      </c>
      <c r="H149" s="821" t="s">
        <v>883</v>
      </c>
      <c r="I149" s="821" t="s">
        <v>998</v>
      </c>
      <c r="J149" s="821" t="s">
        <v>885</v>
      </c>
      <c r="K149" s="821" t="s">
        <v>886</v>
      </c>
      <c r="L149" s="821" t="s">
        <v>998</v>
      </c>
      <c r="M149" s="821" t="s">
        <v>887</v>
      </c>
      <c r="N149" s="821" t="s">
        <v>886</v>
      </c>
      <c r="O149" s="821" t="s">
        <v>886</v>
      </c>
      <c r="P149" s="819">
        <v>17577</v>
      </c>
      <c r="Q149" s="820">
        <v>175.77</v>
      </c>
      <c r="R149" t="str">
        <f t="shared" si="3"/>
        <v>201707</v>
      </c>
      <c r="S149" s="405">
        <f>Q149</f>
        <v>175.77</v>
      </c>
    </row>
    <row r="150" spans="1:19">
      <c r="A150" s="821" t="s">
        <v>877</v>
      </c>
      <c r="B150" s="821" t="s">
        <v>878</v>
      </c>
      <c r="C150" s="821" t="s">
        <v>879</v>
      </c>
      <c r="D150" s="821" t="s">
        <v>880</v>
      </c>
      <c r="E150" s="821" t="s">
        <v>880</v>
      </c>
      <c r="F150" s="821" t="s">
        <v>881</v>
      </c>
      <c r="G150" s="821" t="s">
        <v>882</v>
      </c>
      <c r="H150" s="821" t="s">
        <v>883</v>
      </c>
      <c r="I150" s="821" t="s">
        <v>999</v>
      </c>
      <c r="J150" s="821" t="s">
        <v>885</v>
      </c>
      <c r="K150" s="821" t="s">
        <v>886</v>
      </c>
      <c r="L150" s="821" t="s">
        <v>999</v>
      </c>
      <c r="M150" s="821" t="s">
        <v>887</v>
      </c>
      <c r="N150" s="821" t="s">
        <v>888</v>
      </c>
      <c r="O150" s="821" t="s">
        <v>886</v>
      </c>
      <c r="P150" s="819">
        <v>756668</v>
      </c>
      <c r="Q150" s="820">
        <v>-7566.68</v>
      </c>
      <c r="R150" t="str">
        <f t="shared" si="3"/>
        <v>201707</v>
      </c>
      <c r="S150" s="405">
        <f>-Q150</f>
        <v>7566.68</v>
      </c>
    </row>
    <row r="151" spans="1:19">
      <c r="A151" s="821" t="s">
        <v>877</v>
      </c>
      <c r="B151" s="821" t="s">
        <v>878</v>
      </c>
      <c r="C151" s="821" t="s">
        <v>879</v>
      </c>
      <c r="D151" s="821" t="s">
        <v>880</v>
      </c>
      <c r="E151" s="821" t="s">
        <v>880</v>
      </c>
      <c r="F151" s="821" t="s">
        <v>881</v>
      </c>
      <c r="G151" s="821" t="s">
        <v>882</v>
      </c>
      <c r="H151" s="821" t="s">
        <v>883</v>
      </c>
      <c r="I151" s="821" t="s">
        <v>1000</v>
      </c>
      <c r="J151" s="821" t="s">
        <v>885</v>
      </c>
      <c r="K151" s="821" t="s">
        <v>886</v>
      </c>
      <c r="L151" s="821" t="s">
        <v>1000</v>
      </c>
      <c r="M151" s="821" t="s">
        <v>887</v>
      </c>
      <c r="N151" s="821" t="s">
        <v>886</v>
      </c>
      <c r="O151" s="821" t="s">
        <v>886</v>
      </c>
      <c r="P151" s="819">
        <v>792257</v>
      </c>
      <c r="Q151" s="820">
        <v>7922.57</v>
      </c>
      <c r="R151" t="str">
        <f t="shared" si="3"/>
        <v>201707</v>
      </c>
      <c r="S151" s="405">
        <f>Q151</f>
        <v>7922.57</v>
      </c>
    </row>
    <row r="152" spans="1:19">
      <c r="A152" s="821" t="s">
        <v>877</v>
      </c>
      <c r="B152" s="821" t="s">
        <v>878</v>
      </c>
      <c r="C152" s="821" t="s">
        <v>879</v>
      </c>
      <c r="D152" s="821" t="s">
        <v>880</v>
      </c>
      <c r="E152" s="821" t="s">
        <v>880</v>
      </c>
      <c r="F152" s="821" t="s">
        <v>881</v>
      </c>
      <c r="G152" s="821" t="s">
        <v>882</v>
      </c>
      <c r="H152" s="821" t="s">
        <v>883</v>
      </c>
      <c r="I152" s="821" t="s">
        <v>1001</v>
      </c>
      <c r="J152" s="821" t="s">
        <v>885</v>
      </c>
      <c r="K152" s="821" t="s">
        <v>886</v>
      </c>
      <c r="L152" s="821" t="s">
        <v>1001</v>
      </c>
      <c r="M152" s="821" t="s">
        <v>887</v>
      </c>
      <c r="N152" s="821" t="s">
        <v>886</v>
      </c>
      <c r="O152" s="821" t="s">
        <v>886</v>
      </c>
      <c r="P152" s="819">
        <v>346916</v>
      </c>
      <c r="Q152" s="820">
        <v>3469.16</v>
      </c>
      <c r="R152" t="str">
        <f t="shared" si="3"/>
        <v>201707</v>
      </c>
      <c r="S152" s="405">
        <f>Q152</f>
        <v>3469.16</v>
      </c>
    </row>
    <row r="153" spans="1:19">
      <c r="A153" s="821" t="s">
        <v>877</v>
      </c>
      <c r="B153" s="821" t="s">
        <v>878</v>
      </c>
      <c r="C153" s="821" t="s">
        <v>879</v>
      </c>
      <c r="D153" s="821" t="s">
        <v>880</v>
      </c>
      <c r="E153" s="821" t="s">
        <v>880</v>
      </c>
      <c r="F153" s="821" t="s">
        <v>881</v>
      </c>
      <c r="G153" s="821" t="s">
        <v>882</v>
      </c>
      <c r="H153" s="821" t="s">
        <v>883</v>
      </c>
      <c r="I153" s="821" t="s">
        <v>1002</v>
      </c>
      <c r="J153" s="821" t="s">
        <v>885</v>
      </c>
      <c r="K153" s="821" t="s">
        <v>886</v>
      </c>
      <c r="L153" s="821" t="s">
        <v>1002</v>
      </c>
      <c r="M153" s="821" t="s">
        <v>887</v>
      </c>
      <c r="N153" s="821" t="s">
        <v>888</v>
      </c>
      <c r="O153" s="821" t="s">
        <v>886</v>
      </c>
      <c r="P153" s="819">
        <v>67603</v>
      </c>
      <c r="Q153" s="820">
        <v>-676.03</v>
      </c>
      <c r="R153" t="str">
        <f t="shared" si="3"/>
        <v>201707</v>
      </c>
      <c r="S153" s="405">
        <f>-Q153</f>
        <v>676.03</v>
      </c>
    </row>
    <row r="154" spans="1:19">
      <c r="A154" s="821" t="s">
        <v>877</v>
      </c>
      <c r="B154" s="821" t="s">
        <v>878</v>
      </c>
      <c r="C154" s="821" t="s">
        <v>879</v>
      </c>
      <c r="D154" s="821" t="s">
        <v>880</v>
      </c>
      <c r="E154" s="821" t="s">
        <v>880</v>
      </c>
      <c r="F154" s="821" t="s">
        <v>881</v>
      </c>
      <c r="G154" s="821" t="s">
        <v>882</v>
      </c>
      <c r="H154" s="821" t="s">
        <v>883</v>
      </c>
      <c r="I154" s="821" t="s">
        <v>1002</v>
      </c>
      <c r="J154" s="821" t="s">
        <v>885</v>
      </c>
      <c r="K154" s="821" t="s">
        <v>886</v>
      </c>
      <c r="L154" s="821" t="s">
        <v>1002</v>
      </c>
      <c r="M154" s="821" t="s">
        <v>887</v>
      </c>
      <c r="N154" s="821" t="s">
        <v>886</v>
      </c>
      <c r="O154" s="821" t="s">
        <v>886</v>
      </c>
      <c r="P154" s="819">
        <v>332423</v>
      </c>
      <c r="Q154" s="820">
        <v>3324.23</v>
      </c>
      <c r="R154" t="str">
        <f t="shared" si="3"/>
        <v>201707</v>
      </c>
      <c r="S154" s="405">
        <f>Q154</f>
        <v>3324.23</v>
      </c>
    </row>
    <row r="155" spans="1:19">
      <c r="A155" s="821" t="s">
        <v>877</v>
      </c>
      <c r="B155" s="821" t="s">
        <v>878</v>
      </c>
      <c r="C155" s="821" t="s">
        <v>879</v>
      </c>
      <c r="D155" s="821" t="s">
        <v>880</v>
      </c>
      <c r="E155" s="821" t="s">
        <v>880</v>
      </c>
      <c r="F155" s="821" t="s">
        <v>881</v>
      </c>
      <c r="G155" s="821" t="s">
        <v>882</v>
      </c>
      <c r="H155" s="821" t="s">
        <v>883</v>
      </c>
      <c r="I155" s="821" t="s">
        <v>1003</v>
      </c>
      <c r="J155" s="821" t="s">
        <v>885</v>
      </c>
      <c r="K155" s="821" t="s">
        <v>886</v>
      </c>
      <c r="L155" s="821" t="s">
        <v>1003</v>
      </c>
      <c r="M155" s="821" t="s">
        <v>887</v>
      </c>
      <c r="N155" s="821" t="s">
        <v>888</v>
      </c>
      <c r="O155" s="821" t="s">
        <v>886</v>
      </c>
      <c r="P155" s="819">
        <v>664846</v>
      </c>
      <c r="Q155" s="820">
        <v>-6648.46</v>
      </c>
      <c r="R155" t="str">
        <f t="shared" si="3"/>
        <v>201707</v>
      </c>
      <c r="S155" s="405">
        <f>-Q155</f>
        <v>6648.46</v>
      </c>
    </row>
    <row r="156" spans="1:19">
      <c r="A156" s="821" t="s">
        <v>877</v>
      </c>
      <c r="B156" s="821" t="s">
        <v>878</v>
      </c>
      <c r="C156" s="821" t="s">
        <v>879</v>
      </c>
      <c r="D156" s="821" t="s">
        <v>880</v>
      </c>
      <c r="E156" s="821" t="s">
        <v>880</v>
      </c>
      <c r="F156" s="821" t="s">
        <v>881</v>
      </c>
      <c r="G156" s="821" t="s">
        <v>882</v>
      </c>
      <c r="H156" s="821" t="s">
        <v>883</v>
      </c>
      <c r="I156" s="821" t="s">
        <v>1003</v>
      </c>
      <c r="J156" s="821" t="s">
        <v>885</v>
      </c>
      <c r="K156" s="821" t="s">
        <v>886</v>
      </c>
      <c r="L156" s="821" t="s">
        <v>1003</v>
      </c>
      <c r="M156" s="821" t="s">
        <v>887</v>
      </c>
      <c r="N156" s="821" t="s">
        <v>888</v>
      </c>
      <c r="O156" s="821" t="s">
        <v>886</v>
      </c>
      <c r="P156" s="819">
        <v>310109</v>
      </c>
      <c r="Q156" s="820">
        <v>-3101.09</v>
      </c>
      <c r="R156" t="str">
        <f t="shared" si="3"/>
        <v>201707</v>
      </c>
      <c r="S156" s="405">
        <f>-Q156</f>
        <v>3101.09</v>
      </c>
    </row>
    <row r="157" spans="1:19">
      <c r="A157" s="821" t="s">
        <v>877</v>
      </c>
      <c r="B157" s="821" t="s">
        <v>878</v>
      </c>
      <c r="C157" s="821" t="s">
        <v>879</v>
      </c>
      <c r="D157" s="821" t="s">
        <v>880</v>
      </c>
      <c r="E157" s="821" t="s">
        <v>880</v>
      </c>
      <c r="F157" s="821" t="s">
        <v>881</v>
      </c>
      <c r="G157" s="821" t="s">
        <v>882</v>
      </c>
      <c r="H157" s="821" t="s">
        <v>883</v>
      </c>
      <c r="I157" s="821" t="s">
        <v>1004</v>
      </c>
      <c r="J157" s="821" t="s">
        <v>885</v>
      </c>
      <c r="K157" s="821" t="s">
        <v>886</v>
      </c>
      <c r="L157" s="821" t="s">
        <v>1004</v>
      </c>
      <c r="M157" s="821" t="s">
        <v>887</v>
      </c>
      <c r="N157" s="821" t="s">
        <v>888</v>
      </c>
      <c r="O157" s="821" t="s">
        <v>886</v>
      </c>
      <c r="P157" s="819">
        <v>3298</v>
      </c>
      <c r="Q157" s="820">
        <v>-32.979999999999997</v>
      </c>
      <c r="R157" t="str">
        <f t="shared" si="3"/>
        <v>201707</v>
      </c>
      <c r="S157" s="405">
        <f>-Q157</f>
        <v>32.979999999999997</v>
      </c>
    </row>
    <row r="158" spans="1:19">
      <c r="A158" s="821" t="s">
        <v>877</v>
      </c>
      <c r="B158" s="821" t="s">
        <v>878</v>
      </c>
      <c r="C158" s="821" t="s">
        <v>879</v>
      </c>
      <c r="D158" s="821" t="s">
        <v>880</v>
      </c>
      <c r="E158" s="821" t="s">
        <v>880</v>
      </c>
      <c r="F158" s="821" t="s">
        <v>881</v>
      </c>
      <c r="G158" s="821" t="s">
        <v>882</v>
      </c>
      <c r="H158" s="821" t="s">
        <v>883</v>
      </c>
      <c r="I158" s="821" t="s">
        <v>1005</v>
      </c>
      <c r="J158" s="821" t="s">
        <v>885</v>
      </c>
      <c r="K158" s="821" t="s">
        <v>886</v>
      </c>
      <c r="L158" s="821" t="s">
        <v>1005</v>
      </c>
      <c r="M158" s="821" t="s">
        <v>887</v>
      </c>
      <c r="N158" s="821" t="s">
        <v>886</v>
      </c>
      <c r="O158" s="821" t="s">
        <v>886</v>
      </c>
      <c r="P158" s="819">
        <v>539702</v>
      </c>
      <c r="Q158" s="820">
        <v>5397.02</v>
      </c>
      <c r="R158" t="str">
        <f t="shared" si="3"/>
        <v>201707</v>
      </c>
      <c r="S158" s="405">
        <f>Q158</f>
        <v>5397.02</v>
      </c>
    </row>
    <row r="159" spans="1:19">
      <c r="A159" s="821" t="s">
        <v>877</v>
      </c>
      <c r="B159" s="821" t="s">
        <v>878</v>
      </c>
      <c r="C159" s="821" t="s">
        <v>879</v>
      </c>
      <c r="D159" s="821" t="s">
        <v>880</v>
      </c>
      <c r="E159" s="821" t="s">
        <v>880</v>
      </c>
      <c r="F159" s="821" t="s">
        <v>881</v>
      </c>
      <c r="G159" s="821" t="s">
        <v>882</v>
      </c>
      <c r="H159" s="821" t="s">
        <v>883</v>
      </c>
      <c r="I159" s="821" t="s">
        <v>1005</v>
      </c>
      <c r="J159" s="821" t="s">
        <v>885</v>
      </c>
      <c r="K159" s="821" t="s">
        <v>886</v>
      </c>
      <c r="L159" s="821" t="s">
        <v>1005</v>
      </c>
      <c r="M159" s="821" t="s">
        <v>887</v>
      </c>
      <c r="N159" s="821" t="s">
        <v>886</v>
      </c>
      <c r="O159" s="821" t="s">
        <v>886</v>
      </c>
      <c r="P159" s="819">
        <v>6596</v>
      </c>
      <c r="Q159" s="820">
        <v>65.959999999999994</v>
      </c>
      <c r="R159" t="str">
        <f t="shared" si="3"/>
        <v>201707</v>
      </c>
      <c r="S159" s="405">
        <f>Q159</f>
        <v>65.959999999999994</v>
      </c>
    </row>
    <row r="160" spans="1:19">
      <c r="A160" s="821" t="s">
        <v>877</v>
      </c>
      <c r="B160" s="821" t="s">
        <v>878</v>
      </c>
      <c r="C160" s="821" t="s">
        <v>879</v>
      </c>
      <c r="D160" s="821" t="s">
        <v>880</v>
      </c>
      <c r="E160" s="821" t="s">
        <v>880</v>
      </c>
      <c r="F160" s="821" t="s">
        <v>881</v>
      </c>
      <c r="G160" s="821" t="s">
        <v>882</v>
      </c>
      <c r="H160" s="821" t="s">
        <v>883</v>
      </c>
      <c r="I160" s="821" t="s">
        <v>1005</v>
      </c>
      <c r="J160" s="821" t="s">
        <v>885</v>
      </c>
      <c r="K160" s="821" t="s">
        <v>886</v>
      </c>
      <c r="L160" s="821" t="s">
        <v>1005</v>
      </c>
      <c r="M160" s="821" t="s">
        <v>887</v>
      </c>
      <c r="N160" s="821" t="s">
        <v>886</v>
      </c>
      <c r="O160" s="821" t="s">
        <v>886</v>
      </c>
      <c r="P160" s="819">
        <v>999295</v>
      </c>
      <c r="Q160" s="820">
        <v>9992.9500000000007</v>
      </c>
      <c r="R160" t="str">
        <f t="shared" si="3"/>
        <v>201707</v>
      </c>
      <c r="S160" s="405">
        <f>Q160</f>
        <v>9992.9500000000007</v>
      </c>
    </row>
    <row r="161" spans="1:19">
      <c r="A161" s="821" t="s">
        <v>877</v>
      </c>
      <c r="B161" s="821" t="s">
        <v>878</v>
      </c>
      <c r="C161" s="821" t="s">
        <v>879</v>
      </c>
      <c r="D161" s="821" t="s">
        <v>880</v>
      </c>
      <c r="E161" s="821" t="s">
        <v>880</v>
      </c>
      <c r="F161" s="821" t="s">
        <v>881</v>
      </c>
      <c r="G161" s="821" t="s">
        <v>882</v>
      </c>
      <c r="H161" s="821" t="s">
        <v>883</v>
      </c>
      <c r="I161" s="821" t="s">
        <v>1006</v>
      </c>
      <c r="J161" s="821" t="s">
        <v>885</v>
      </c>
      <c r="K161" s="821" t="s">
        <v>886</v>
      </c>
      <c r="L161" s="821" t="s">
        <v>1006</v>
      </c>
      <c r="M161" s="821" t="s">
        <v>887</v>
      </c>
      <c r="N161" s="821" t="s">
        <v>888</v>
      </c>
      <c r="O161" s="821" t="s">
        <v>886</v>
      </c>
      <c r="P161" s="819">
        <v>1079404</v>
      </c>
      <c r="Q161" s="820">
        <v>-10794.04</v>
      </c>
      <c r="R161" t="str">
        <f t="shared" si="3"/>
        <v>201707</v>
      </c>
      <c r="S161" s="405">
        <f>-Q161</f>
        <v>10794.04</v>
      </c>
    </row>
    <row r="162" spans="1:19">
      <c r="A162" s="821" t="s">
        <v>877</v>
      </c>
      <c r="B162" s="821" t="s">
        <v>878</v>
      </c>
      <c r="C162" s="821" t="s">
        <v>879</v>
      </c>
      <c r="D162" s="821" t="s">
        <v>880</v>
      </c>
      <c r="E162" s="821" t="s">
        <v>880</v>
      </c>
      <c r="F162" s="821" t="s">
        <v>881</v>
      </c>
      <c r="G162" s="821" t="s">
        <v>882</v>
      </c>
      <c r="H162" s="821" t="s">
        <v>883</v>
      </c>
      <c r="I162" s="821" t="s">
        <v>1006</v>
      </c>
      <c r="J162" s="821" t="s">
        <v>885</v>
      </c>
      <c r="K162" s="821" t="s">
        <v>886</v>
      </c>
      <c r="L162" s="821" t="s">
        <v>1006</v>
      </c>
      <c r="M162" s="821" t="s">
        <v>887</v>
      </c>
      <c r="N162" s="821" t="s">
        <v>888</v>
      </c>
      <c r="O162" s="821" t="s">
        <v>886</v>
      </c>
      <c r="P162" s="819">
        <v>194383</v>
      </c>
      <c r="Q162" s="820">
        <v>-1943.83</v>
      </c>
      <c r="R162" t="str">
        <f t="shared" si="3"/>
        <v>201707</v>
      </c>
      <c r="S162" s="405">
        <f>-Q162</f>
        <v>1943.83</v>
      </c>
    </row>
    <row r="163" spans="1:19">
      <c r="A163" s="821" t="s">
        <v>877</v>
      </c>
      <c r="B163" s="821" t="s">
        <v>878</v>
      </c>
      <c r="C163" s="821" t="s">
        <v>879</v>
      </c>
      <c r="D163" s="821" t="s">
        <v>880</v>
      </c>
      <c r="E163" s="821" t="s">
        <v>880</v>
      </c>
      <c r="F163" s="821" t="s">
        <v>881</v>
      </c>
      <c r="G163" s="821" t="s">
        <v>882</v>
      </c>
      <c r="H163" s="821" t="s">
        <v>883</v>
      </c>
      <c r="I163" s="821" t="s">
        <v>1007</v>
      </c>
      <c r="J163" s="821" t="s">
        <v>885</v>
      </c>
      <c r="K163" s="821" t="s">
        <v>886</v>
      </c>
      <c r="L163" s="821" t="s">
        <v>1007</v>
      </c>
      <c r="M163" s="821" t="s">
        <v>887</v>
      </c>
      <c r="N163" s="821" t="s">
        <v>888</v>
      </c>
      <c r="O163" s="821" t="s">
        <v>886</v>
      </c>
      <c r="P163" s="819">
        <v>16370</v>
      </c>
      <c r="Q163" s="820">
        <v>-163.69999999999999</v>
      </c>
      <c r="R163" t="str">
        <f t="shared" si="3"/>
        <v>201707</v>
      </c>
      <c r="S163" s="405">
        <f>-Q163</f>
        <v>163.69999999999999</v>
      </c>
    </row>
    <row r="164" spans="1:19">
      <c r="A164" s="821" t="s">
        <v>877</v>
      </c>
      <c r="B164" s="821" t="s">
        <v>878</v>
      </c>
      <c r="C164" s="821" t="s">
        <v>879</v>
      </c>
      <c r="D164" s="821" t="s">
        <v>880</v>
      </c>
      <c r="E164" s="821" t="s">
        <v>880</v>
      </c>
      <c r="F164" s="821" t="s">
        <v>881</v>
      </c>
      <c r="G164" s="821" t="s">
        <v>882</v>
      </c>
      <c r="H164" s="821" t="s">
        <v>883</v>
      </c>
      <c r="I164" s="821" t="s">
        <v>1008</v>
      </c>
      <c r="J164" s="821" t="s">
        <v>885</v>
      </c>
      <c r="K164" s="821" t="s">
        <v>886</v>
      </c>
      <c r="L164" s="821" t="s">
        <v>1008</v>
      </c>
      <c r="M164" s="821" t="s">
        <v>887</v>
      </c>
      <c r="N164" s="821" t="s">
        <v>886</v>
      </c>
      <c r="O164" s="821" t="s">
        <v>886</v>
      </c>
      <c r="P164" s="819">
        <v>20737</v>
      </c>
      <c r="Q164" s="820">
        <v>207.37</v>
      </c>
      <c r="R164" t="str">
        <f t="shared" si="3"/>
        <v>201707</v>
      </c>
      <c r="S164" s="405">
        <f>Q164</f>
        <v>207.37</v>
      </c>
    </row>
    <row r="165" spans="1:19">
      <c r="A165" s="821" t="s">
        <v>877</v>
      </c>
      <c r="B165" s="821" t="s">
        <v>878</v>
      </c>
      <c r="C165" s="821" t="s">
        <v>879</v>
      </c>
      <c r="D165" s="821" t="s">
        <v>880</v>
      </c>
      <c r="E165" s="821" t="s">
        <v>880</v>
      </c>
      <c r="F165" s="821" t="s">
        <v>881</v>
      </c>
      <c r="G165" s="821" t="s">
        <v>882</v>
      </c>
      <c r="H165" s="821" t="s">
        <v>883</v>
      </c>
      <c r="I165" s="821" t="s">
        <v>1008</v>
      </c>
      <c r="J165" s="821" t="s">
        <v>885</v>
      </c>
      <c r="K165" s="821" t="s">
        <v>886</v>
      </c>
      <c r="L165" s="821" t="s">
        <v>1008</v>
      </c>
      <c r="M165" s="821" t="s">
        <v>887</v>
      </c>
      <c r="N165" s="821" t="s">
        <v>886</v>
      </c>
      <c r="O165" s="821" t="s">
        <v>886</v>
      </c>
      <c r="P165" s="819">
        <v>58597</v>
      </c>
      <c r="Q165" s="820">
        <v>585.97</v>
      </c>
      <c r="R165" t="str">
        <f t="shared" si="3"/>
        <v>201707</v>
      </c>
      <c r="S165" s="405">
        <f>Q165</f>
        <v>585.97</v>
      </c>
    </row>
    <row r="166" spans="1:19">
      <c r="A166" s="821" t="s">
        <v>877</v>
      </c>
      <c r="B166" s="821" t="s">
        <v>878</v>
      </c>
      <c r="C166" s="821" t="s">
        <v>879</v>
      </c>
      <c r="D166" s="821" t="s">
        <v>880</v>
      </c>
      <c r="E166" s="821" t="s">
        <v>880</v>
      </c>
      <c r="F166" s="821" t="s">
        <v>881</v>
      </c>
      <c r="G166" s="821" t="s">
        <v>882</v>
      </c>
      <c r="H166" s="821" t="s">
        <v>883</v>
      </c>
      <c r="I166" s="821" t="s">
        <v>1009</v>
      </c>
      <c r="J166" s="821" t="s">
        <v>885</v>
      </c>
      <c r="K166" s="821" t="s">
        <v>886</v>
      </c>
      <c r="L166" s="821" t="s">
        <v>1009</v>
      </c>
      <c r="M166" s="821" t="s">
        <v>887</v>
      </c>
      <c r="N166" s="821" t="s">
        <v>886</v>
      </c>
      <c r="O166" s="821" t="s">
        <v>886</v>
      </c>
      <c r="P166" s="819">
        <v>158477</v>
      </c>
      <c r="Q166" s="820">
        <v>1584.77</v>
      </c>
      <c r="R166" t="str">
        <f t="shared" si="3"/>
        <v>201707</v>
      </c>
      <c r="S166" s="405">
        <f>Q166</f>
        <v>1584.77</v>
      </c>
    </row>
    <row r="167" spans="1:19">
      <c r="A167" s="821" t="s">
        <v>877</v>
      </c>
      <c r="B167" s="821" t="s">
        <v>878</v>
      </c>
      <c r="C167" s="821" t="s">
        <v>879</v>
      </c>
      <c r="D167" s="821" t="s">
        <v>880</v>
      </c>
      <c r="E167" s="821" t="s">
        <v>880</v>
      </c>
      <c r="F167" s="821" t="s">
        <v>881</v>
      </c>
      <c r="G167" s="821" t="s">
        <v>882</v>
      </c>
      <c r="H167" s="821" t="s">
        <v>883</v>
      </c>
      <c r="I167" s="821" t="s">
        <v>1009</v>
      </c>
      <c r="J167" s="821" t="s">
        <v>885</v>
      </c>
      <c r="K167" s="821" t="s">
        <v>886</v>
      </c>
      <c r="L167" s="821" t="s">
        <v>1009</v>
      </c>
      <c r="M167" s="821" t="s">
        <v>887</v>
      </c>
      <c r="N167" s="821" t="s">
        <v>888</v>
      </c>
      <c r="O167" s="821" t="s">
        <v>886</v>
      </c>
      <c r="P167" s="819">
        <v>135352</v>
      </c>
      <c r="Q167" s="820">
        <v>-1353.52</v>
      </c>
      <c r="R167" t="str">
        <f t="shared" si="3"/>
        <v>201707</v>
      </c>
      <c r="S167" s="405">
        <f>-Q167</f>
        <v>1353.52</v>
      </c>
    </row>
    <row r="168" spans="1:19">
      <c r="A168" s="821" t="s">
        <v>877</v>
      </c>
      <c r="B168" s="821" t="s">
        <v>878</v>
      </c>
      <c r="C168" s="821" t="s">
        <v>879</v>
      </c>
      <c r="D168" s="821" t="s">
        <v>880</v>
      </c>
      <c r="E168" s="821" t="s">
        <v>880</v>
      </c>
      <c r="F168" s="821" t="s">
        <v>881</v>
      </c>
      <c r="G168" s="821" t="s">
        <v>882</v>
      </c>
      <c r="H168" s="821" t="s">
        <v>883</v>
      </c>
      <c r="I168" s="821" t="s">
        <v>1010</v>
      </c>
      <c r="J168" s="821" t="s">
        <v>885</v>
      </c>
      <c r="K168" s="821" t="s">
        <v>886</v>
      </c>
      <c r="L168" s="821" t="s">
        <v>1010</v>
      </c>
      <c r="M168" s="821" t="s">
        <v>887</v>
      </c>
      <c r="N168" s="821" t="s">
        <v>886</v>
      </c>
      <c r="O168" s="821" t="s">
        <v>886</v>
      </c>
      <c r="P168" s="819">
        <v>319392</v>
      </c>
      <c r="Q168" s="820">
        <v>3193.92</v>
      </c>
      <c r="R168" t="str">
        <f t="shared" si="3"/>
        <v>201707</v>
      </c>
      <c r="S168" s="405">
        <f>Q168</f>
        <v>3193.92</v>
      </c>
    </row>
    <row r="169" spans="1:19">
      <c r="A169" s="821" t="s">
        <v>877</v>
      </c>
      <c r="B169" s="821" t="s">
        <v>878</v>
      </c>
      <c r="C169" s="821" t="s">
        <v>879</v>
      </c>
      <c r="D169" s="821" t="s">
        <v>880</v>
      </c>
      <c r="E169" s="821" t="s">
        <v>880</v>
      </c>
      <c r="F169" s="821" t="s">
        <v>881</v>
      </c>
      <c r="G169" s="821" t="s">
        <v>882</v>
      </c>
      <c r="H169" s="821" t="s">
        <v>883</v>
      </c>
      <c r="I169" s="821" t="s">
        <v>1010</v>
      </c>
      <c r="J169" s="821" t="s">
        <v>885</v>
      </c>
      <c r="K169" s="821" t="s">
        <v>886</v>
      </c>
      <c r="L169" s="821" t="s">
        <v>1010</v>
      </c>
      <c r="M169" s="821" t="s">
        <v>887</v>
      </c>
      <c r="N169" s="821" t="s">
        <v>888</v>
      </c>
      <c r="O169" s="821" t="s">
        <v>886</v>
      </c>
      <c r="P169" s="819">
        <v>336684</v>
      </c>
      <c r="Q169" s="820">
        <v>-3366.84</v>
      </c>
      <c r="R169" t="str">
        <f t="shared" si="3"/>
        <v>201707</v>
      </c>
      <c r="S169" s="405">
        <f>-Q169</f>
        <v>3366.84</v>
      </c>
    </row>
    <row r="170" spans="1:19">
      <c r="A170" s="821" t="s">
        <v>877</v>
      </c>
      <c r="B170" s="821" t="s">
        <v>878</v>
      </c>
      <c r="C170" s="821" t="s">
        <v>879</v>
      </c>
      <c r="D170" s="821" t="s">
        <v>880</v>
      </c>
      <c r="E170" s="821" t="s">
        <v>880</v>
      </c>
      <c r="F170" s="821" t="s">
        <v>881</v>
      </c>
      <c r="G170" s="821" t="s">
        <v>882</v>
      </c>
      <c r="H170" s="821" t="s">
        <v>883</v>
      </c>
      <c r="I170" s="821" t="s">
        <v>1009</v>
      </c>
      <c r="J170" s="821" t="s">
        <v>885</v>
      </c>
      <c r="K170" s="821" t="s">
        <v>886</v>
      </c>
      <c r="L170" s="821" t="s">
        <v>1009</v>
      </c>
      <c r="M170" s="821" t="s">
        <v>887</v>
      </c>
      <c r="N170" s="821" t="s">
        <v>886</v>
      </c>
      <c r="O170" s="821" t="s">
        <v>886</v>
      </c>
      <c r="P170" s="819">
        <v>135352</v>
      </c>
      <c r="Q170" s="820">
        <v>1353.52</v>
      </c>
      <c r="R170" t="str">
        <f t="shared" si="3"/>
        <v>201707</v>
      </c>
      <c r="S170" s="405">
        <f>Q170</f>
        <v>1353.52</v>
      </c>
    </row>
    <row r="171" spans="1:19">
      <c r="A171" s="821" t="s">
        <v>877</v>
      </c>
      <c r="B171" s="821" t="s">
        <v>878</v>
      </c>
      <c r="C171" s="821" t="s">
        <v>879</v>
      </c>
      <c r="D171" s="821" t="s">
        <v>880</v>
      </c>
      <c r="E171" s="821" t="s">
        <v>880</v>
      </c>
      <c r="F171" s="821" t="s">
        <v>881</v>
      </c>
      <c r="G171" s="821" t="s">
        <v>882</v>
      </c>
      <c r="H171" s="821" t="s">
        <v>883</v>
      </c>
      <c r="I171" s="821" t="s">
        <v>1011</v>
      </c>
      <c r="J171" s="821" t="s">
        <v>885</v>
      </c>
      <c r="K171" s="821" t="s">
        <v>886</v>
      </c>
      <c r="L171" s="821" t="s">
        <v>1011</v>
      </c>
      <c r="M171" s="821" t="s">
        <v>887</v>
      </c>
      <c r="N171" s="821" t="s">
        <v>888</v>
      </c>
      <c r="O171" s="821" t="s">
        <v>886</v>
      </c>
      <c r="P171" s="819">
        <v>70984</v>
      </c>
      <c r="Q171" s="820">
        <v>-709.84</v>
      </c>
      <c r="R171" t="str">
        <f t="shared" si="3"/>
        <v>201708</v>
      </c>
      <c r="S171" s="405">
        <f>-Q171</f>
        <v>709.84</v>
      </c>
    </row>
    <row r="172" spans="1:19">
      <c r="A172" s="821" t="s">
        <v>877</v>
      </c>
      <c r="B172" s="821" t="s">
        <v>878</v>
      </c>
      <c r="C172" s="821" t="s">
        <v>879</v>
      </c>
      <c r="D172" s="821" t="s">
        <v>880</v>
      </c>
      <c r="E172" s="821" t="s">
        <v>880</v>
      </c>
      <c r="F172" s="821" t="s">
        <v>881</v>
      </c>
      <c r="G172" s="821" t="s">
        <v>882</v>
      </c>
      <c r="H172" s="821" t="s">
        <v>883</v>
      </c>
      <c r="I172" s="821" t="s">
        <v>1012</v>
      </c>
      <c r="J172" s="821" t="s">
        <v>885</v>
      </c>
      <c r="K172" s="821" t="s">
        <v>886</v>
      </c>
      <c r="L172" s="821" t="s">
        <v>1012</v>
      </c>
      <c r="M172" s="821" t="s">
        <v>887</v>
      </c>
      <c r="N172" s="821" t="s">
        <v>886</v>
      </c>
      <c r="O172" s="821" t="s">
        <v>886</v>
      </c>
      <c r="P172" s="819">
        <v>214578</v>
      </c>
      <c r="Q172" s="820">
        <v>2145.7800000000002</v>
      </c>
      <c r="R172" t="str">
        <f t="shared" si="3"/>
        <v>201708</v>
      </c>
      <c r="S172" s="405">
        <f>Q172</f>
        <v>2145.7800000000002</v>
      </c>
    </row>
    <row r="173" spans="1:19">
      <c r="A173" s="821" t="s">
        <v>877</v>
      </c>
      <c r="B173" s="821" t="s">
        <v>878</v>
      </c>
      <c r="C173" s="821" t="s">
        <v>879</v>
      </c>
      <c r="D173" s="821" t="s">
        <v>880</v>
      </c>
      <c r="E173" s="821" t="s">
        <v>880</v>
      </c>
      <c r="F173" s="821" t="s">
        <v>881</v>
      </c>
      <c r="G173" s="821" t="s">
        <v>882</v>
      </c>
      <c r="H173" s="821" t="s">
        <v>883</v>
      </c>
      <c r="I173" s="821" t="s">
        <v>1013</v>
      </c>
      <c r="J173" s="821" t="s">
        <v>885</v>
      </c>
      <c r="K173" s="821" t="s">
        <v>886</v>
      </c>
      <c r="L173" s="821" t="s">
        <v>1013</v>
      </c>
      <c r="M173" s="821" t="s">
        <v>887</v>
      </c>
      <c r="N173" s="821" t="s">
        <v>888</v>
      </c>
      <c r="O173" s="821" t="s">
        <v>886</v>
      </c>
      <c r="P173" s="819">
        <v>166704</v>
      </c>
      <c r="Q173" s="820">
        <v>-1667.04</v>
      </c>
      <c r="R173" t="str">
        <f t="shared" si="3"/>
        <v>201708</v>
      </c>
      <c r="S173" s="405">
        <f>-Q173</f>
        <v>1667.04</v>
      </c>
    </row>
    <row r="174" spans="1:19">
      <c r="A174" s="821" t="s">
        <v>877</v>
      </c>
      <c r="B174" s="821" t="s">
        <v>878</v>
      </c>
      <c r="C174" s="821" t="s">
        <v>879</v>
      </c>
      <c r="D174" s="821" t="s">
        <v>880</v>
      </c>
      <c r="E174" s="821" t="s">
        <v>880</v>
      </c>
      <c r="F174" s="821" t="s">
        <v>881</v>
      </c>
      <c r="G174" s="821" t="s">
        <v>882</v>
      </c>
      <c r="H174" s="821" t="s">
        <v>883</v>
      </c>
      <c r="I174" s="821" t="s">
        <v>1014</v>
      </c>
      <c r="J174" s="821" t="s">
        <v>885</v>
      </c>
      <c r="K174" s="821" t="s">
        <v>886</v>
      </c>
      <c r="L174" s="821" t="s">
        <v>1014</v>
      </c>
      <c r="M174" s="821" t="s">
        <v>887</v>
      </c>
      <c r="N174" s="821" t="s">
        <v>886</v>
      </c>
      <c r="O174" s="821" t="s">
        <v>886</v>
      </c>
      <c r="P174" s="819">
        <v>154558</v>
      </c>
      <c r="Q174" s="820">
        <v>1545.58</v>
      </c>
      <c r="R174" t="str">
        <f t="shared" si="3"/>
        <v>201708</v>
      </c>
      <c r="S174" s="405">
        <f>Q174</f>
        <v>1545.58</v>
      </c>
    </row>
    <row r="175" spans="1:19">
      <c r="A175" s="821" t="s">
        <v>877</v>
      </c>
      <c r="B175" s="821" t="s">
        <v>878</v>
      </c>
      <c r="C175" s="821" t="s">
        <v>879</v>
      </c>
      <c r="D175" s="821" t="s">
        <v>880</v>
      </c>
      <c r="E175" s="821" t="s">
        <v>880</v>
      </c>
      <c r="F175" s="821" t="s">
        <v>881</v>
      </c>
      <c r="G175" s="821" t="s">
        <v>882</v>
      </c>
      <c r="H175" s="821" t="s">
        <v>883</v>
      </c>
      <c r="I175" s="821" t="s">
        <v>1015</v>
      </c>
      <c r="J175" s="821" t="s">
        <v>885</v>
      </c>
      <c r="K175" s="821" t="s">
        <v>886</v>
      </c>
      <c r="L175" s="821" t="s">
        <v>1015</v>
      </c>
      <c r="M175" s="821" t="s">
        <v>887</v>
      </c>
      <c r="N175" s="821" t="s">
        <v>888</v>
      </c>
      <c r="O175" s="821" t="s">
        <v>886</v>
      </c>
      <c r="P175" s="819">
        <v>54829</v>
      </c>
      <c r="Q175" s="820">
        <v>-548.29</v>
      </c>
      <c r="R175" t="str">
        <f t="shared" si="3"/>
        <v>201708</v>
      </c>
      <c r="S175" s="405">
        <f>-Q175</f>
        <v>548.29</v>
      </c>
    </row>
    <row r="176" spans="1:19">
      <c r="A176" s="821" t="s">
        <v>877</v>
      </c>
      <c r="B176" s="821" t="s">
        <v>878</v>
      </c>
      <c r="C176" s="821" t="s">
        <v>879</v>
      </c>
      <c r="D176" s="821" t="s">
        <v>880</v>
      </c>
      <c r="E176" s="821" t="s">
        <v>880</v>
      </c>
      <c r="F176" s="821" t="s">
        <v>881</v>
      </c>
      <c r="G176" s="821" t="s">
        <v>882</v>
      </c>
      <c r="H176" s="821" t="s">
        <v>883</v>
      </c>
      <c r="I176" s="821" t="s">
        <v>1016</v>
      </c>
      <c r="J176" s="821" t="s">
        <v>885</v>
      </c>
      <c r="K176" s="821" t="s">
        <v>886</v>
      </c>
      <c r="L176" s="821" t="s">
        <v>1016</v>
      </c>
      <c r="M176" s="821" t="s">
        <v>887</v>
      </c>
      <c r="N176" s="821" t="s">
        <v>886</v>
      </c>
      <c r="O176" s="821" t="s">
        <v>886</v>
      </c>
      <c r="P176" s="819">
        <v>203437</v>
      </c>
      <c r="Q176" s="820">
        <v>2034.37</v>
      </c>
      <c r="R176" t="str">
        <f t="shared" si="3"/>
        <v>201708</v>
      </c>
      <c r="S176" s="405">
        <f>Q176</f>
        <v>2034.37</v>
      </c>
    </row>
    <row r="177" spans="1:19">
      <c r="A177" s="821" t="s">
        <v>877</v>
      </c>
      <c r="B177" s="821" t="s">
        <v>878</v>
      </c>
      <c r="C177" s="821" t="s">
        <v>879</v>
      </c>
      <c r="D177" s="821" t="s">
        <v>880</v>
      </c>
      <c r="E177" s="821" t="s">
        <v>880</v>
      </c>
      <c r="F177" s="821" t="s">
        <v>881</v>
      </c>
      <c r="G177" s="821" t="s">
        <v>882</v>
      </c>
      <c r="H177" s="821" t="s">
        <v>883</v>
      </c>
      <c r="I177" s="821" t="s">
        <v>1016</v>
      </c>
      <c r="J177" s="821" t="s">
        <v>885</v>
      </c>
      <c r="K177" s="821" t="s">
        <v>886</v>
      </c>
      <c r="L177" s="821" t="s">
        <v>1016</v>
      </c>
      <c r="M177" s="821" t="s">
        <v>887</v>
      </c>
      <c r="N177" s="821" t="s">
        <v>888</v>
      </c>
      <c r="O177" s="821" t="s">
        <v>886</v>
      </c>
      <c r="P177" s="819">
        <v>93884</v>
      </c>
      <c r="Q177" s="820">
        <v>-938.84</v>
      </c>
      <c r="R177" t="str">
        <f t="shared" si="3"/>
        <v>201708</v>
      </c>
      <c r="S177" s="405">
        <f>-Q177</f>
        <v>938.84</v>
      </c>
    </row>
    <row r="178" spans="1:19">
      <c r="A178" s="821" t="s">
        <v>877</v>
      </c>
      <c r="B178" s="821" t="s">
        <v>878</v>
      </c>
      <c r="C178" s="821" t="s">
        <v>879</v>
      </c>
      <c r="D178" s="821" t="s">
        <v>880</v>
      </c>
      <c r="E178" s="821" t="s">
        <v>880</v>
      </c>
      <c r="F178" s="821" t="s">
        <v>881</v>
      </c>
      <c r="G178" s="821" t="s">
        <v>882</v>
      </c>
      <c r="H178" s="821" t="s">
        <v>883</v>
      </c>
      <c r="I178" s="821" t="s">
        <v>1017</v>
      </c>
      <c r="J178" s="821" t="s">
        <v>885</v>
      </c>
      <c r="K178" s="821" t="s">
        <v>886</v>
      </c>
      <c r="L178" s="821" t="s">
        <v>1017</v>
      </c>
      <c r="M178" s="821" t="s">
        <v>887</v>
      </c>
      <c r="N178" s="821" t="s">
        <v>886</v>
      </c>
      <c r="O178" s="821" t="s">
        <v>886</v>
      </c>
      <c r="P178" s="819">
        <v>106537</v>
      </c>
      <c r="Q178" s="820">
        <v>1065.3699999999999</v>
      </c>
      <c r="R178" t="str">
        <f t="shared" si="3"/>
        <v>201708</v>
      </c>
      <c r="S178" s="405">
        <f>Q178</f>
        <v>1065.3699999999999</v>
      </c>
    </row>
    <row r="179" spans="1:19">
      <c r="A179" s="821" t="s">
        <v>877</v>
      </c>
      <c r="B179" s="821" t="s">
        <v>878</v>
      </c>
      <c r="C179" s="821" t="s">
        <v>879</v>
      </c>
      <c r="D179" s="821" t="s">
        <v>880</v>
      </c>
      <c r="E179" s="821" t="s">
        <v>880</v>
      </c>
      <c r="F179" s="821" t="s">
        <v>881</v>
      </c>
      <c r="G179" s="821" t="s">
        <v>882</v>
      </c>
      <c r="H179" s="821" t="s">
        <v>883</v>
      </c>
      <c r="I179" s="821" t="s">
        <v>1018</v>
      </c>
      <c r="J179" s="821" t="s">
        <v>885</v>
      </c>
      <c r="K179" s="821" t="s">
        <v>886</v>
      </c>
      <c r="L179" s="821" t="s">
        <v>1018</v>
      </c>
      <c r="M179" s="821" t="s">
        <v>887</v>
      </c>
      <c r="N179" s="821" t="s">
        <v>888</v>
      </c>
      <c r="O179" s="821" t="s">
        <v>886</v>
      </c>
      <c r="P179" s="819">
        <v>46064</v>
      </c>
      <c r="Q179" s="820">
        <v>-460.64</v>
      </c>
      <c r="R179" t="str">
        <f t="shared" si="3"/>
        <v>201708</v>
      </c>
      <c r="S179" s="405">
        <f>-Q179</f>
        <v>460.64</v>
      </c>
    </row>
    <row r="180" spans="1:19">
      <c r="A180" s="821" t="s">
        <v>877</v>
      </c>
      <c r="B180" s="821" t="s">
        <v>878</v>
      </c>
      <c r="C180" s="821" t="s">
        <v>879</v>
      </c>
      <c r="D180" s="821" t="s">
        <v>880</v>
      </c>
      <c r="E180" s="821" t="s">
        <v>880</v>
      </c>
      <c r="F180" s="821" t="s">
        <v>881</v>
      </c>
      <c r="G180" s="821" t="s">
        <v>882</v>
      </c>
      <c r="H180" s="821" t="s">
        <v>883</v>
      </c>
      <c r="I180" s="821" t="s">
        <v>1019</v>
      </c>
      <c r="J180" s="821" t="s">
        <v>885</v>
      </c>
      <c r="K180" s="821" t="s">
        <v>886</v>
      </c>
      <c r="L180" s="821" t="s">
        <v>1019</v>
      </c>
      <c r="M180" s="821" t="s">
        <v>887</v>
      </c>
      <c r="N180" s="821" t="s">
        <v>886</v>
      </c>
      <c r="O180" s="821" t="s">
        <v>886</v>
      </c>
      <c r="P180" s="819">
        <v>121308</v>
      </c>
      <c r="Q180" s="820">
        <v>1213.08</v>
      </c>
      <c r="R180" t="str">
        <f t="shared" si="3"/>
        <v>201708</v>
      </c>
      <c r="S180" s="405">
        <f>Q180</f>
        <v>1213.08</v>
      </c>
    </row>
    <row r="181" spans="1:19">
      <c r="A181" s="821" t="s">
        <v>877</v>
      </c>
      <c r="B181" s="821" t="s">
        <v>878</v>
      </c>
      <c r="C181" s="821" t="s">
        <v>879</v>
      </c>
      <c r="D181" s="821" t="s">
        <v>880</v>
      </c>
      <c r="E181" s="821" t="s">
        <v>880</v>
      </c>
      <c r="F181" s="821" t="s">
        <v>881</v>
      </c>
      <c r="G181" s="821" t="s">
        <v>882</v>
      </c>
      <c r="H181" s="821" t="s">
        <v>883</v>
      </c>
      <c r="I181" s="821" t="s">
        <v>1019</v>
      </c>
      <c r="J181" s="821" t="s">
        <v>885</v>
      </c>
      <c r="K181" s="821" t="s">
        <v>886</v>
      </c>
      <c r="L181" s="821" t="s">
        <v>1019</v>
      </c>
      <c r="M181" s="821" t="s">
        <v>887</v>
      </c>
      <c r="N181" s="821" t="s">
        <v>888</v>
      </c>
      <c r="O181" s="821" t="s">
        <v>886</v>
      </c>
      <c r="P181" s="819">
        <v>38302000</v>
      </c>
      <c r="Q181" s="794">
        <v>-383020</v>
      </c>
      <c r="R181" t="str">
        <f t="shared" si="3"/>
        <v>201708</v>
      </c>
      <c r="S181" s="405">
        <f>-Q181</f>
        <v>383020</v>
      </c>
    </row>
    <row r="182" spans="1:19">
      <c r="A182" s="821" t="s">
        <v>877</v>
      </c>
      <c r="B182" s="821" t="s">
        <v>878</v>
      </c>
      <c r="C182" s="821" t="s">
        <v>879</v>
      </c>
      <c r="D182" s="821" t="s">
        <v>880</v>
      </c>
      <c r="E182" s="821" t="s">
        <v>880</v>
      </c>
      <c r="F182" s="821" t="s">
        <v>881</v>
      </c>
      <c r="G182" s="821" t="s">
        <v>882</v>
      </c>
      <c r="H182" s="821" t="s">
        <v>883</v>
      </c>
      <c r="I182" s="821" t="s">
        <v>1020</v>
      </c>
      <c r="J182" s="821" t="s">
        <v>885</v>
      </c>
      <c r="K182" s="821" t="s">
        <v>886</v>
      </c>
      <c r="L182" s="821" t="s">
        <v>1020</v>
      </c>
      <c r="M182" s="821" t="s">
        <v>887</v>
      </c>
      <c r="N182" s="821" t="s">
        <v>886</v>
      </c>
      <c r="O182" s="821" t="s">
        <v>886</v>
      </c>
      <c r="P182" s="819">
        <v>558935</v>
      </c>
      <c r="Q182" s="820">
        <v>5589.35</v>
      </c>
      <c r="R182" t="str">
        <f t="shared" si="3"/>
        <v>201708</v>
      </c>
      <c r="S182" s="405">
        <f>Q182</f>
        <v>5589.35</v>
      </c>
    </row>
    <row r="183" spans="1:19">
      <c r="A183" s="821" t="s">
        <v>877</v>
      </c>
      <c r="B183" s="821" t="s">
        <v>878</v>
      </c>
      <c r="C183" s="821" t="s">
        <v>879</v>
      </c>
      <c r="D183" s="821" t="s">
        <v>880</v>
      </c>
      <c r="E183" s="821" t="s">
        <v>880</v>
      </c>
      <c r="F183" s="821" t="s">
        <v>881</v>
      </c>
      <c r="G183" s="821" t="s">
        <v>882</v>
      </c>
      <c r="H183" s="821" t="s">
        <v>883</v>
      </c>
      <c r="I183" s="821" t="s">
        <v>1021</v>
      </c>
      <c r="J183" s="821" t="s">
        <v>885</v>
      </c>
      <c r="K183" s="821" t="s">
        <v>886</v>
      </c>
      <c r="L183" s="821" t="s">
        <v>1021</v>
      </c>
      <c r="M183" s="821" t="s">
        <v>887</v>
      </c>
      <c r="N183" s="821" t="s">
        <v>888</v>
      </c>
      <c r="O183" s="821" t="s">
        <v>886</v>
      </c>
      <c r="P183" s="819">
        <v>641963</v>
      </c>
      <c r="Q183" s="820">
        <v>-6419.63</v>
      </c>
      <c r="R183" t="str">
        <f t="shared" si="3"/>
        <v>201708</v>
      </c>
      <c r="S183" s="405">
        <f>-Q183</f>
        <v>6419.63</v>
      </c>
    </row>
    <row r="184" spans="1:19">
      <c r="A184" s="821" t="s">
        <v>877</v>
      </c>
      <c r="B184" s="821" t="s">
        <v>878</v>
      </c>
      <c r="C184" s="821" t="s">
        <v>879</v>
      </c>
      <c r="D184" s="821" t="s">
        <v>880</v>
      </c>
      <c r="E184" s="821" t="s">
        <v>880</v>
      </c>
      <c r="F184" s="821" t="s">
        <v>881</v>
      </c>
      <c r="G184" s="821" t="s">
        <v>882</v>
      </c>
      <c r="H184" s="821" t="s">
        <v>883</v>
      </c>
      <c r="I184" s="821" t="s">
        <v>1022</v>
      </c>
      <c r="J184" s="821" t="s">
        <v>885</v>
      </c>
      <c r="K184" s="821" t="s">
        <v>886</v>
      </c>
      <c r="L184" s="821" t="s">
        <v>1022</v>
      </c>
      <c r="M184" s="821" t="s">
        <v>887</v>
      </c>
      <c r="N184" s="821" t="s">
        <v>886</v>
      </c>
      <c r="O184" s="821" t="s">
        <v>886</v>
      </c>
      <c r="P184" s="819">
        <v>186036</v>
      </c>
      <c r="Q184" s="820">
        <v>1860.36</v>
      </c>
      <c r="R184" t="str">
        <f t="shared" si="3"/>
        <v>201708</v>
      </c>
      <c r="S184" s="405">
        <f>Q184</f>
        <v>1860.36</v>
      </c>
    </row>
    <row r="185" spans="1:19">
      <c r="A185" s="821" t="s">
        <v>877</v>
      </c>
      <c r="B185" s="821" t="s">
        <v>878</v>
      </c>
      <c r="C185" s="821" t="s">
        <v>879</v>
      </c>
      <c r="D185" s="821" t="s">
        <v>880</v>
      </c>
      <c r="E185" s="821" t="s">
        <v>880</v>
      </c>
      <c r="F185" s="821" t="s">
        <v>881</v>
      </c>
      <c r="G185" s="821" t="s">
        <v>882</v>
      </c>
      <c r="H185" s="821" t="s">
        <v>883</v>
      </c>
      <c r="I185" s="821" t="s">
        <v>1023</v>
      </c>
      <c r="J185" s="821" t="s">
        <v>885</v>
      </c>
      <c r="K185" s="821" t="s">
        <v>886</v>
      </c>
      <c r="L185" s="821" t="s">
        <v>1023</v>
      </c>
      <c r="M185" s="821" t="s">
        <v>887</v>
      </c>
      <c r="N185" s="821" t="s">
        <v>888</v>
      </c>
      <c r="O185" s="821" t="s">
        <v>886</v>
      </c>
      <c r="P185" s="819">
        <v>24764</v>
      </c>
      <c r="Q185" s="820">
        <v>-247.64</v>
      </c>
      <c r="R185" t="str">
        <f t="shared" si="3"/>
        <v>201708</v>
      </c>
      <c r="S185" s="405">
        <f>-Q185</f>
        <v>247.64</v>
      </c>
    </row>
    <row r="186" spans="1:19">
      <c r="A186" s="821" t="s">
        <v>877</v>
      </c>
      <c r="B186" s="821" t="s">
        <v>878</v>
      </c>
      <c r="C186" s="821" t="s">
        <v>879</v>
      </c>
      <c r="D186" s="821" t="s">
        <v>880</v>
      </c>
      <c r="E186" s="821" t="s">
        <v>880</v>
      </c>
      <c r="F186" s="821" t="s">
        <v>881</v>
      </c>
      <c r="G186" s="821" t="s">
        <v>882</v>
      </c>
      <c r="H186" s="821" t="s">
        <v>883</v>
      </c>
      <c r="I186" s="821" t="s">
        <v>1024</v>
      </c>
      <c r="J186" s="821" t="s">
        <v>885</v>
      </c>
      <c r="K186" s="821" t="s">
        <v>886</v>
      </c>
      <c r="L186" s="821" t="s">
        <v>1024</v>
      </c>
      <c r="M186" s="821" t="s">
        <v>887</v>
      </c>
      <c r="N186" s="821" t="s">
        <v>886</v>
      </c>
      <c r="O186" s="821" t="s">
        <v>886</v>
      </c>
      <c r="P186" s="819">
        <v>55308</v>
      </c>
      <c r="Q186" s="820">
        <v>553.08000000000004</v>
      </c>
      <c r="R186" t="str">
        <f t="shared" si="3"/>
        <v>201708</v>
      </c>
      <c r="S186" s="405">
        <f>Q186</f>
        <v>553.08000000000004</v>
      </c>
    </row>
    <row r="187" spans="1:19">
      <c r="A187" s="821" t="s">
        <v>877</v>
      </c>
      <c r="B187" s="821" t="s">
        <v>878</v>
      </c>
      <c r="C187" s="821" t="s">
        <v>879</v>
      </c>
      <c r="D187" s="821" t="s">
        <v>880</v>
      </c>
      <c r="E187" s="821" t="s">
        <v>880</v>
      </c>
      <c r="F187" s="821" t="s">
        <v>881</v>
      </c>
      <c r="G187" s="821" t="s">
        <v>882</v>
      </c>
      <c r="H187" s="821" t="s">
        <v>883</v>
      </c>
      <c r="I187" s="821" t="s">
        <v>1025</v>
      </c>
      <c r="J187" s="821" t="s">
        <v>885</v>
      </c>
      <c r="K187" s="821" t="s">
        <v>886</v>
      </c>
      <c r="L187" s="821" t="s">
        <v>1025</v>
      </c>
      <c r="M187" s="821" t="s">
        <v>887</v>
      </c>
      <c r="N187" s="821" t="s">
        <v>888</v>
      </c>
      <c r="O187" s="821" t="s">
        <v>886</v>
      </c>
      <c r="P187" s="819">
        <v>34464</v>
      </c>
      <c r="Q187" s="820">
        <v>-344.64</v>
      </c>
      <c r="R187" t="str">
        <f t="shared" si="3"/>
        <v>201708</v>
      </c>
      <c r="S187" s="405">
        <f>-Q187</f>
        <v>344.64</v>
      </c>
    </row>
    <row r="188" spans="1:19">
      <c r="A188" s="821" t="s">
        <v>877</v>
      </c>
      <c r="B188" s="821" t="s">
        <v>878</v>
      </c>
      <c r="C188" s="821" t="s">
        <v>879</v>
      </c>
      <c r="D188" s="821" t="s">
        <v>880</v>
      </c>
      <c r="E188" s="821" t="s">
        <v>880</v>
      </c>
      <c r="F188" s="821" t="s">
        <v>881</v>
      </c>
      <c r="G188" s="821" t="s">
        <v>882</v>
      </c>
      <c r="H188" s="821" t="s">
        <v>883</v>
      </c>
      <c r="I188" s="821" t="s">
        <v>1026</v>
      </c>
      <c r="J188" s="821" t="s">
        <v>885</v>
      </c>
      <c r="K188" s="821" t="s">
        <v>886</v>
      </c>
      <c r="L188" s="821" t="s">
        <v>1026</v>
      </c>
      <c r="M188" s="821" t="s">
        <v>887</v>
      </c>
      <c r="N188" s="821" t="s">
        <v>888</v>
      </c>
      <c r="O188" s="821" t="s">
        <v>886</v>
      </c>
      <c r="P188" s="819">
        <v>71464</v>
      </c>
      <c r="Q188" s="820">
        <v>-714.64</v>
      </c>
      <c r="R188" t="str">
        <f t="shared" si="3"/>
        <v>201708</v>
      </c>
      <c r="S188" s="405">
        <f>-Q188</f>
        <v>714.64</v>
      </c>
    </row>
    <row r="189" spans="1:19">
      <c r="A189" s="821" t="s">
        <v>877</v>
      </c>
      <c r="B189" s="821" t="s">
        <v>878</v>
      </c>
      <c r="C189" s="821" t="s">
        <v>879</v>
      </c>
      <c r="D189" s="821" t="s">
        <v>880</v>
      </c>
      <c r="E189" s="821" t="s">
        <v>880</v>
      </c>
      <c r="F189" s="821" t="s">
        <v>881</v>
      </c>
      <c r="G189" s="821" t="s">
        <v>882</v>
      </c>
      <c r="H189" s="821" t="s">
        <v>883</v>
      </c>
      <c r="I189" s="821" t="s">
        <v>1027</v>
      </c>
      <c r="J189" s="821" t="s">
        <v>885</v>
      </c>
      <c r="K189" s="821" t="s">
        <v>886</v>
      </c>
      <c r="L189" s="821" t="s">
        <v>1027</v>
      </c>
      <c r="M189" s="821" t="s">
        <v>887</v>
      </c>
      <c r="N189" s="821" t="s">
        <v>886</v>
      </c>
      <c r="O189" s="821" t="s">
        <v>886</v>
      </c>
      <c r="P189" s="819">
        <v>280335</v>
      </c>
      <c r="Q189" s="820">
        <v>2803.35</v>
      </c>
      <c r="R189" t="str">
        <f t="shared" si="3"/>
        <v>201708</v>
      </c>
      <c r="S189" s="405">
        <f>Q189</f>
        <v>2803.35</v>
      </c>
    </row>
    <row r="190" spans="1:19">
      <c r="A190" s="821" t="s">
        <v>877</v>
      </c>
      <c r="B190" s="821" t="s">
        <v>878</v>
      </c>
      <c r="C190" s="821" t="s">
        <v>879</v>
      </c>
      <c r="D190" s="821" t="s">
        <v>880</v>
      </c>
      <c r="E190" s="821" t="s">
        <v>880</v>
      </c>
      <c r="F190" s="821" t="s">
        <v>881</v>
      </c>
      <c r="G190" s="821" t="s">
        <v>882</v>
      </c>
      <c r="H190" s="821" t="s">
        <v>883</v>
      </c>
      <c r="I190" s="821" t="s">
        <v>1028</v>
      </c>
      <c r="J190" s="821" t="s">
        <v>885</v>
      </c>
      <c r="K190" s="821" t="s">
        <v>886</v>
      </c>
      <c r="L190" s="821" t="s">
        <v>1028</v>
      </c>
      <c r="M190" s="821" t="s">
        <v>887</v>
      </c>
      <c r="N190" s="821" t="s">
        <v>886</v>
      </c>
      <c r="O190" s="821" t="s">
        <v>886</v>
      </c>
      <c r="P190" s="819">
        <v>10536</v>
      </c>
      <c r="Q190" s="820">
        <v>105.36</v>
      </c>
      <c r="R190" t="str">
        <f t="shared" si="3"/>
        <v>201708</v>
      </c>
      <c r="S190" s="405">
        <f>Q190</f>
        <v>105.36</v>
      </c>
    </row>
    <row r="191" spans="1:19">
      <c r="A191" s="821" t="s">
        <v>877</v>
      </c>
      <c r="B191" s="821" t="s">
        <v>878</v>
      </c>
      <c r="C191" s="821" t="s">
        <v>879</v>
      </c>
      <c r="D191" s="821" t="s">
        <v>880</v>
      </c>
      <c r="E191" s="821" t="s">
        <v>880</v>
      </c>
      <c r="F191" s="821" t="s">
        <v>881</v>
      </c>
      <c r="G191" s="821" t="s">
        <v>882</v>
      </c>
      <c r="H191" s="821" t="s">
        <v>883</v>
      </c>
      <c r="I191" s="821" t="s">
        <v>1029</v>
      </c>
      <c r="J191" s="821" t="s">
        <v>885</v>
      </c>
      <c r="K191" s="821" t="s">
        <v>886</v>
      </c>
      <c r="L191" s="821" t="s">
        <v>1029</v>
      </c>
      <c r="M191" s="821" t="s">
        <v>887</v>
      </c>
      <c r="N191" s="821" t="s">
        <v>886</v>
      </c>
      <c r="O191" s="821" t="s">
        <v>886</v>
      </c>
      <c r="P191" s="819">
        <v>10309</v>
      </c>
      <c r="Q191" s="820">
        <v>103.09</v>
      </c>
      <c r="R191" t="str">
        <f t="shared" si="3"/>
        <v>201708</v>
      </c>
      <c r="S191" s="405">
        <f>Q191</f>
        <v>103.09</v>
      </c>
    </row>
    <row r="192" spans="1:19">
      <c r="A192" s="821" t="s">
        <v>877</v>
      </c>
      <c r="B192" s="821" t="s">
        <v>878</v>
      </c>
      <c r="C192" s="821" t="s">
        <v>879</v>
      </c>
      <c r="D192" s="821" t="s">
        <v>880</v>
      </c>
      <c r="E192" s="821" t="s">
        <v>880</v>
      </c>
      <c r="F192" s="821" t="s">
        <v>881</v>
      </c>
      <c r="G192" s="821" t="s">
        <v>882</v>
      </c>
      <c r="H192" s="821" t="s">
        <v>883</v>
      </c>
      <c r="I192" s="821" t="s">
        <v>1030</v>
      </c>
      <c r="J192" s="821" t="s">
        <v>885</v>
      </c>
      <c r="K192" s="821" t="s">
        <v>886</v>
      </c>
      <c r="L192" s="821" t="s">
        <v>1030</v>
      </c>
      <c r="M192" s="821" t="s">
        <v>887</v>
      </c>
      <c r="N192" s="821" t="s">
        <v>888</v>
      </c>
      <c r="O192" s="821" t="s">
        <v>886</v>
      </c>
      <c r="P192" s="819">
        <v>43065</v>
      </c>
      <c r="Q192" s="820">
        <v>-430.65</v>
      </c>
      <c r="R192" t="str">
        <f t="shared" si="3"/>
        <v>201708</v>
      </c>
      <c r="S192" s="405">
        <f>-Q192</f>
        <v>430.65</v>
      </c>
    </row>
    <row r="193" spans="1:19">
      <c r="A193" s="821" t="s">
        <v>877</v>
      </c>
      <c r="B193" s="821" t="s">
        <v>878</v>
      </c>
      <c r="C193" s="821" t="s">
        <v>879</v>
      </c>
      <c r="D193" s="821" t="s">
        <v>880</v>
      </c>
      <c r="E193" s="821" t="s">
        <v>880</v>
      </c>
      <c r="F193" s="821" t="s">
        <v>881</v>
      </c>
      <c r="G193" s="821" t="s">
        <v>882</v>
      </c>
      <c r="H193" s="821" t="s">
        <v>883</v>
      </c>
      <c r="I193" s="821" t="s">
        <v>1031</v>
      </c>
      <c r="J193" s="821" t="s">
        <v>885</v>
      </c>
      <c r="K193" s="821" t="s">
        <v>886</v>
      </c>
      <c r="L193" s="821" t="s">
        <v>1031</v>
      </c>
      <c r="M193" s="821" t="s">
        <v>887</v>
      </c>
      <c r="N193" s="821" t="s">
        <v>886</v>
      </c>
      <c r="O193" s="821" t="s">
        <v>886</v>
      </c>
      <c r="P193" s="819">
        <v>33036</v>
      </c>
      <c r="Q193" s="820">
        <v>330.36</v>
      </c>
      <c r="R193" t="str">
        <f t="shared" si="3"/>
        <v>201708</v>
      </c>
      <c r="S193" s="405">
        <f>Q193</f>
        <v>330.36</v>
      </c>
    </row>
    <row r="194" spans="1:19">
      <c r="A194" s="821" t="s">
        <v>877</v>
      </c>
      <c r="B194" s="821" t="s">
        <v>878</v>
      </c>
      <c r="C194" s="821" t="s">
        <v>879</v>
      </c>
      <c r="D194" s="821" t="s">
        <v>880</v>
      </c>
      <c r="E194" s="821" t="s">
        <v>880</v>
      </c>
      <c r="F194" s="821" t="s">
        <v>881</v>
      </c>
      <c r="G194" s="821" t="s">
        <v>882</v>
      </c>
      <c r="H194" s="821" t="s">
        <v>883</v>
      </c>
      <c r="I194" s="821" t="s">
        <v>1031</v>
      </c>
      <c r="J194" s="821" t="s">
        <v>885</v>
      </c>
      <c r="K194" s="821" t="s">
        <v>886</v>
      </c>
      <c r="L194" s="821" t="s">
        <v>1031</v>
      </c>
      <c r="M194" s="821" t="s">
        <v>887</v>
      </c>
      <c r="N194" s="821" t="s">
        <v>888</v>
      </c>
      <c r="O194" s="821" t="s">
        <v>886</v>
      </c>
      <c r="P194" s="819">
        <v>49064</v>
      </c>
      <c r="Q194" s="820">
        <v>-490.64</v>
      </c>
      <c r="R194" t="str">
        <f t="shared" si="3"/>
        <v>201708</v>
      </c>
      <c r="S194" s="405">
        <f>-Q194</f>
        <v>490.64</v>
      </c>
    </row>
    <row r="195" spans="1:19">
      <c r="A195" s="821" t="s">
        <v>877</v>
      </c>
      <c r="B195" s="821" t="s">
        <v>878</v>
      </c>
      <c r="C195" s="821" t="s">
        <v>879</v>
      </c>
      <c r="D195" s="821" t="s">
        <v>880</v>
      </c>
      <c r="E195" s="821" t="s">
        <v>880</v>
      </c>
      <c r="F195" s="821" t="s">
        <v>881</v>
      </c>
      <c r="G195" s="821" t="s">
        <v>882</v>
      </c>
      <c r="H195" s="821" t="s">
        <v>1032</v>
      </c>
      <c r="I195" s="821" t="s">
        <v>1033</v>
      </c>
      <c r="J195" s="821" t="s">
        <v>885</v>
      </c>
      <c r="K195" s="821" t="s">
        <v>886</v>
      </c>
      <c r="L195" s="821" t="s">
        <v>1033</v>
      </c>
      <c r="M195" s="821" t="s">
        <v>887</v>
      </c>
      <c r="N195" s="821" t="s">
        <v>886</v>
      </c>
      <c r="O195" s="821" t="s">
        <v>886</v>
      </c>
      <c r="P195" s="819">
        <v>60337</v>
      </c>
      <c r="Q195" s="820">
        <v>603.37</v>
      </c>
      <c r="R195" t="str">
        <f t="shared" ref="R195:R258" si="4">MID(L195,1,6)</f>
        <v>201709</v>
      </c>
      <c r="S195" s="405">
        <f>Q195</f>
        <v>603.37</v>
      </c>
    </row>
    <row r="196" spans="1:19">
      <c r="A196" s="821" t="s">
        <v>877</v>
      </c>
      <c r="B196" s="821" t="s">
        <v>878</v>
      </c>
      <c r="C196" s="821" t="s">
        <v>879</v>
      </c>
      <c r="D196" s="821" t="s">
        <v>880</v>
      </c>
      <c r="E196" s="821" t="s">
        <v>880</v>
      </c>
      <c r="F196" s="821" t="s">
        <v>881</v>
      </c>
      <c r="G196" s="821" t="s">
        <v>882</v>
      </c>
      <c r="H196" s="821" t="s">
        <v>1032</v>
      </c>
      <c r="I196" s="821" t="s">
        <v>1034</v>
      </c>
      <c r="J196" s="821" t="s">
        <v>885</v>
      </c>
      <c r="K196" s="821" t="s">
        <v>886</v>
      </c>
      <c r="L196" s="821" t="s">
        <v>1034</v>
      </c>
      <c r="M196" s="821" t="s">
        <v>887</v>
      </c>
      <c r="N196" s="821" t="s">
        <v>886</v>
      </c>
      <c r="O196" s="821" t="s">
        <v>886</v>
      </c>
      <c r="P196" s="819">
        <v>231207</v>
      </c>
      <c r="Q196" s="820">
        <v>2312.0700000000002</v>
      </c>
      <c r="R196" t="str">
        <f t="shared" si="4"/>
        <v>201709</v>
      </c>
      <c r="S196" s="405">
        <f>Q196</f>
        <v>2312.0700000000002</v>
      </c>
    </row>
    <row r="197" spans="1:19">
      <c r="A197" s="821" t="s">
        <v>877</v>
      </c>
      <c r="B197" s="821" t="s">
        <v>878</v>
      </c>
      <c r="C197" s="821" t="s">
        <v>879</v>
      </c>
      <c r="D197" s="821" t="s">
        <v>880</v>
      </c>
      <c r="E197" s="821" t="s">
        <v>880</v>
      </c>
      <c r="F197" s="821" t="s">
        <v>881</v>
      </c>
      <c r="G197" s="821" t="s">
        <v>882</v>
      </c>
      <c r="H197" s="821" t="s">
        <v>1032</v>
      </c>
      <c r="I197" s="821" t="s">
        <v>1035</v>
      </c>
      <c r="J197" s="821" t="s">
        <v>885</v>
      </c>
      <c r="K197" s="821" t="s">
        <v>886</v>
      </c>
      <c r="L197" s="821" t="s">
        <v>1035</v>
      </c>
      <c r="M197" s="821" t="s">
        <v>887</v>
      </c>
      <c r="N197" s="821" t="s">
        <v>886</v>
      </c>
      <c r="O197" s="821" t="s">
        <v>886</v>
      </c>
      <c r="P197" s="819">
        <v>339894</v>
      </c>
      <c r="Q197" s="820">
        <v>3398.94</v>
      </c>
      <c r="R197" t="str">
        <f t="shared" si="4"/>
        <v>201709</v>
      </c>
      <c r="S197" s="405">
        <f>Q197</f>
        <v>3398.94</v>
      </c>
    </row>
    <row r="198" spans="1:19">
      <c r="A198" s="821" t="s">
        <v>877</v>
      </c>
      <c r="B198" s="821" t="s">
        <v>878</v>
      </c>
      <c r="C198" s="821" t="s">
        <v>879</v>
      </c>
      <c r="D198" s="821" t="s">
        <v>880</v>
      </c>
      <c r="E198" s="821" t="s">
        <v>880</v>
      </c>
      <c r="F198" s="821" t="s">
        <v>881</v>
      </c>
      <c r="G198" s="821" t="s">
        <v>882</v>
      </c>
      <c r="H198" s="821" t="s">
        <v>1032</v>
      </c>
      <c r="I198" s="821" t="s">
        <v>1036</v>
      </c>
      <c r="J198" s="821" t="s">
        <v>885</v>
      </c>
      <c r="K198" s="821" t="s">
        <v>886</v>
      </c>
      <c r="L198" s="821" t="s">
        <v>1036</v>
      </c>
      <c r="M198" s="821" t="s">
        <v>887</v>
      </c>
      <c r="N198" s="821" t="s">
        <v>888</v>
      </c>
      <c r="O198" s="821" t="s">
        <v>886</v>
      </c>
      <c r="P198" s="819">
        <v>480322</v>
      </c>
      <c r="Q198" s="820">
        <v>-4803.22</v>
      </c>
      <c r="R198" t="str">
        <f t="shared" si="4"/>
        <v>201709</v>
      </c>
      <c r="S198" s="405">
        <f>-Q198</f>
        <v>4803.22</v>
      </c>
    </row>
    <row r="199" spans="1:19">
      <c r="A199" s="821" t="s">
        <v>877</v>
      </c>
      <c r="B199" s="821" t="s">
        <v>878</v>
      </c>
      <c r="C199" s="821" t="s">
        <v>879</v>
      </c>
      <c r="D199" s="821" t="s">
        <v>880</v>
      </c>
      <c r="E199" s="821" t="s">
        <v>880</v>
      </c>
      <c r="F199" s="821" t="s">
        <v>881</v>
      </c>
      <c r="G199" s="821" t="s">
        <v>882</v>
      </c>
      <c r="H199" s="821" t="s">
        <v>1032</v>
      </c>
      <c r="I199" s="821" t="s">
        <v>1037</v>
      </c>
      <c r="J199" s="821" t="s">
        <v>885</v>
      </c>
      <c r="K199" s="821" t="s">
        <v>886</v>
      </c>
      <c r="L199" s="821" t="s">
        <v>1037</v>
      </c>
      <c r="M199" s="821" t="s">
        <v>887</v>
      </c>
      <c r="N199" s="821" t="s">
        <v>886</v>
      </c>
      <c r="O199" s="821" t="s">
        <v>886</v>
      </c>
      <c r="P199" s="819">
        <v>11935</v>
      </c>
      <c r="Q199" s="820">
        <v>119.35</v>
      </c>
      <c r="R199" t="str">
        <f t="shared" si="4"/>
        <v>201709</v>
      </c>
      <c r="S199" s="405">
        <f>Q199</f>
        <v>119.35</v>
      </c>
    </row>
    <row r="200" spans="1:19">
      <c r="A200" s="821" t="s">
        <v>877</v>
      </c>
      <c r="B200" s="821" t="s">
        <v>878</v>
      </c>
      <c r="C200" s="821" t="s">
        <v>879</v>
      </c>
      <c r="D200" s="821" t="s">
        <v>880</v>
      </c>
      <c r="E200" s="821" t="s">
        <v>880</v>
      </c>
      <c r="F200" s="821" t="s">
        <v>881</v>
      </c>
      <c r="G200" s="821" t="s">
        <v>882</v>
      </c>
      <c r="H200" s="821" t="s">
        <v>1032</v>
      </c>
      <c r="I200" s="821" t="s">
        <v>1038</v>
      </c>
      <c r="J200" s="821" t="s">
        <v>885</v>
      </c>
      <c r="K200" s="821" t="s">
        <v>886</v>
      </c>
      <c r="L200" s="821" t="s">
        <v>1038</v>
      </c>
      <c r="M200" s="821" t="s">
        <v>887</v>
      </c>
      <c r="N200" s="821" t="s">
        <v>886</v>
      </c>
      <c r="O200" s="821" t="s">
        <v>886</v>
      </c>
      <c r="P200" s="819">
        <v>99936</v>
      </c>
      <c r="Q200" s="820">
        <v>999.36</v>
      </c>
      <c r="R200" t="str">
        <f t="shared" si="4"/>
        <v>201709</v>
      </c>
      <c r="S200" s="405">
        <f>Q200</f>
        <v>999.36</v>
      </c>
    </row>
    <row r="201" spans="1:19">
      <c r="A201" s="821" t="s">
        <v>877</v>
      </c>
      <c r="B201" s="821" t="s">
        <v>878</v>
      </c>
      <c r="C201" s="821" t="s">
        <v>879</v>
      </c>
      <c r="D201" s="821" t="s">
        <v>880</v>
      </c>
      <c r="E201" s="821" t="s">
        <v>880</v>
      </c>
      <c r="F201" s="821" t="s">
        <v>881</v>
      </c>
      <c r="G201" s="821" t="s">
        <v>882</v>
      </c>
      <c r="H201" s="821" t="s">
        <v>1032</v>
      </c>
      <c r="I201" s="821" t="s">
        <v>1039</v>
      </c>
      <c r="J201" s="821" t="s">
        <v>885</v>
      </c>
      <c r="K201" s="821" t="s">
        <v>886</v>
      </c>
      <c r="L201" s="821" t="s">
        <v>1039</v>
      </c>
      <c r="M201" s="821" t="s">
        <v>887</v>
      </c>
      <c r="N201" s="821" t="s">
        <v>888</v>
      </c>
      <c r="O201" s="821" t="s">
        <v>886</v>
      </c>
      <c r="P201" s="819">
        <v>268292</v>
      </c>
      <c r="Q201" s="820">
        <v>-2682.92</v>
      </c>
      <c r="R201" t="str">
        <f t="shared" si="4"/>
        <v>201709</v>
      </c>
      <c r="S201" s="405">
        <f>-Q201</f>
        <v>2682.92</v>
      </c>
    </row>
    <row r="202" spans="1:19">
      <c r="A202" s="821" t="s">
        <v>877</v>
      </c>
      <c r="B202" s="821" t="s">
        <v>878</v>
      </c>
      <c r="C202" s="821" t="s">
        <v>879</v>
      </c>
      <c r="D202" s="821" t="s">
        <v>880</v>
      </c>
      <c r="E202" s="821" t="s">
        <v>880</v>
      </c>
      <c r="F202" s="821" t="s">
        <v>881</v>
      </c>
      <c r="G202" s="821" t="s">
        <v>882</v>
      </c>
      <c r="H202" s="821" t="s">
        <v>1032</v>
      </c>
      <c r="I202" s="821" t="s">
        <v>1040</v>
      </c>
      <c r="J202" s="821" t="s">
        <v>885</v>
      </c>
      <c r="K202" s="821" t="s">
        <v>886</v>
      </c>
      <c r="L202" s="821" t="s">
        <v>1040</v>
      </c>
      <c r="M202" s="821" t="s">
        <v>887</v>
      </c>
      <c r="N202" s="821" t="s">
        <v>886</v>
      </c>
      <c r="O202" s="821" t="s">
        <v>886</v>
      </c>
      <c r="P202" s="819">
        <v>133436</v>
      </c>
      <c r="Q202" s="820">
        <v>1334.36</v>
      </c>
      <c r="R202" t="str">
        <f t="shared" si="4"/>
        <v>201709</v>
      </c>
      <c r="S202" s="405">
        <f>Q202</f>
        <v>1334.36</v>
      </c>
    </row>
    <row r="203" spans="1:19">
      <c r="A203" s="821" t="s">
        <v>877</v>
      </c>
      <c r="B203" s="821" t="s">
        <v>878</v>
      </c>
      <c r="C203" s="821" t="s">
        <v>879</v>
      </c>
      <c r="D203" s="821" t="s">
        <v>880</v>
      </c>
      <c r="E203" s="821" t="s">
        <v>880</v>
      </c>
      <c r="F203" s="821" t="s">
        <v>881</v>
      </c>
      <c r="G203" s="821" t="s">
        <v>882</v>
      </c>
      <c r="H203" s="821" t="s">
        <v>1032</v>
      </c>
      <c r="I203" s="821" t="s">
        <v>1041</v>
      </c>
      <c r="J203" s="821" t="s">
        <v>885</v>
      </c>
      <c r="K203" s="821" t="s">
        <v>886</v>
      </c>
      <c r="L203" s="821" t="s">
        <v>1041</v>
      </c>
      <c r="M203" s="821" t="s">
        <v>887</v>
      </c>
      <c r="N203" s="821" t="s">
        <v>886</v>
      </c>
      <c r="O203" s="821" t="s">
        <v>886</v>
      </c>
      <c r="P203" s="819">
        <v>122936</v>
      </c>
      <c r="Q203" s="820">
        <v>1229.3599999999999</v>
      </c>
      <c r="R203" t="str">
        <f t="shared" si="4"/>
        <v>201709</v>
      </c>
      <c r="S203" s="405">
        <f>Q203</f>
        <v>1229.3599999999999</v>
      </c>
    </row>
    <row r="204" spans="1:19">
      <c r="A204" s="821" t="s">
        <v>877</v>
      </c>
      <c r="B204" s="821" t="s">
        <v>878</v>
      </c>
      <c r="C204" s="821" t="s">
        <v>879</v>
      </c>
      <c r="D204" s="821" t="s">
        <v>880</v>
      </c>
      <c r="E204" s="821" t="s">
        <v>880</v>
      </c>
      <c r="F204" s="821" t="s">
        <v>881</v>
      </c>
      <c r="G204" s="821" t="s">
        <v>882</v>
      </c>
      <c r="H204" s="821" t="s">
        <v>1032</v>
      </c>
      <c r="I204" s="821" t="s">
        <v>1042</v>
      </c>
      <c r="J204" s="821" t="s">
        <v>885</v>
      </c>
      <c r="K204" s="821" t="s">
        <v>886</v>
      </c>
      <c r="L204" s="821" t="s">
        <v>1042</v>
      </c>
      <c r="M204" s="821" t="s">
        <v>887</v>
      </c>
      <c r="N204" s="821" t="s">
        <v>888</v>
      </c>
      <c r="O204" s="821" t="s">
        <v>886</v>
      </c>
      <c r="P204" s="819">
        <v>25264</v>
      </c>
      <c r="Q204" s="820">
        <v>-252.64</v>
      </c>
      <c r="R204" t="str">
        <f t="shared" si="4"/>
        <v>201709</v>
      </c>
      <c r="S204" s="405">
        <f>-Q204</f>
        <v>252.64</v>
      </c>
    </row>
    <row r="205" spans="1:19">
      <c r="A205" s="821" t="s">
        <v>877</v>
      </c>
      <c r="B205" s="821" t="s">
        <v>878</v>
      </c>
      <c r="C205" s="821" t="s">
        <v>879</v>
      </c>
      <c r="D205" s="821" t="s">
        <v>880</v>
      </c>
      <c r="E205" s="821" t="s">
        <v>880</v>
      </c>
      <c r="F205" s="821" t="s">
        <v>881</v>
      </c>
      <c r="G205" s="821" t="s">
        <v>882</v>
      </c>
      <c r="H205" s="821" t="s">
        <v>1032</v>
      </c>
      <c r="I205" s="821" t="s">
        <v>1043</v>
      </c>
      <c r="J205" s="821" t="s">
        <v>885</v>
      </c>
      <c r="K205" s="821" t="s">
        <v>886</v>
      </c>
      <c r="L205" s="821" t="s">
        <v>1043</v>
      </c>
      <c r="M205" s="821" t="s">
        <v>887</v>
      </c>
      <c r="N205" s="821" t="s">
        <v>888</v>
      </c>
      <c r="O205" s="821" t="s">
        <v>886</v>
      </c>
      <c r="P205" s="819">
        <v>27264</v>
      </c>
      <c r="Q205" s="820">
        <v>-272.64</v>
      </c>
      <c r="R205" t="str">
        <f t="shared" si="4"/>
        <v>201709</v>
      </c>
      <c r="S205" s="405">
        <f>-Q205</f>
        <v>272.64</v>
      </c>
    </row>
    <row r="206" spans="1:19">
      <c r="A206" s="821" t="s">
        <v>877</v>
      </c>
      <c r="B206" s="821" t="s">
        <v>878</v>
      </c>
      <c r="C206" s="821" t="s">
        <v>879</v>
      </c>
      <c r="D206" s="821" t="s">
        <v>880</v>
      </c>
      <c r="E206" s="821" t="s">
        <v>880</v>
      </c>
      <c r="F206" s="821" t="s">
        <v>881</v>
      </c>
      <c r="G206" s="821" t="s">
        <v>882</v>
      </c>
      <c r="H206" s="821" t="s">
        <v>1032</v>
      </c>
      <c r="I206" s="821" t="s">
        <v>1044</v>
      </c>
      <c r="J206" s="821" t="s">
        <v>885</v>
      </c>
      <c r="K206" s="821" t="s">
        <v>886</v>
      </c>
      <c r="L206" s="821" t="s">
        <v>1044</v>
      </c>
      <c r="M206" s="821" t="s">
        <v>887</v>
      </c>
      <c r="N206" s="821" t="s">
        <v>886</v>
      </c>
      <c r="O206" s="821" t="s">
        <v>886</v>
      </c>
      <c r="P206" s="819">
        <v>439309</v>
      </c>
      <c r="Q206" s="820">
        <v>4393.09</v>
      </c>
      <c r="R206" t="str">
        <f t="shared" si="4"/>
        <v>201709</v>
      </c>
      <c r="S206" s="405">
        <f>Q206</f>
        <v>4393.09</v>
      </c>
    </row>
    <row r="207" spans="1:19">
      <c r="A207" s="821" t="s">
        <v>877</v>
      </c>
      <c r="B207" s="821" t="s">
        <v>878</v>
      </c>
      <c r="C207" s="821" t="s">
        <v>879</v>
      </c>
      <c r="D207" s="821" t="s">
        <v>880</v>
      </c>
      <c r="E207" s="821" t="s">
        <v>880</v>
      </c>
      <c r="F207" s="821" t="s">
        <v>881</v>
      </c>
      <c r="G207" s="821" t="s">
        <v>882</v>
      </c>
      <c r="H207" s="821" t="s">
        <v>1032</v>
      </c>
      <c r="I207" s="821" t="s">
        <v>1045</v>
      </c>
      <c r="J207" s="821" t="s">
        <v>885</v>
      </c>
      <c r="K207" s="821" t="s">
        <v>886</v>
      </c>
      <c r="L207" s="821" t="s">
        <v>1045</v>
      </c>
      <c r="M207" s="821" t="s">
        <v>887</v>
      </c>
      <c r="N207" s="821" t="s">
        <v>888</v>
      </c>
      <c r="O207" s="821" t="s">
        <v>886</v>
      </c>
      <c r="P207" s="819">
        <v>391865</v>
      </c>
      <c r="Q207" s="820">
        <v>-3918.65</v>
      </c>
      <c r="R207" t="str">
        <f t="shared" si="4"/>
        <v>201709</v>
      </c>
      <c r="S207" s="405">
        <f>-Q207</f>
        <v>3918.65</v>
      </c>
    </row>
    <row r="208" spans="1:19">
      <c r="A208" s="821" t="s">
        <v>877</v>
      </c>
      <c r="B208" s="821" t="s">
        <v>878</v>
      </c>
      <c r="C208" s="821" t="s">
        <v>879</v>
      </c>
      <c r="D208" s="821" t="s">
        <v>880</v>
      </c>
      <c r="E208" s="821" t="s">
        <v>880</v>
      </c>
      <c r="F208" s="821" t="s">
        <v>881</v>
      </c>
      <c r="G208" s="821" t="s">
        <v>882</v>
      </c>
      <c r="H208" s="821" t="s">
        <v>1032</v>
      </c>
      <c r="I208" s="821" t="s">
        <v>1046</v>
      </c>
      <c r="J208" s="821" t="s">
        <v>885</v>
      </c>
      <c r="K208" s="821" t="s">
        <v>886</v>
      </c>
      <c r="L208" s="821" t="s">
        <v>1046</v>
      </c>
      <c r="M208" s="821" t="s">
        <v>887</v>
      </c>
      <c r="N208" s="821" t="s">
        <v>888</v>
      </c>
      <c r="O208" s="821" t="s">
        <v>886</v>
      </c>
      <c r="P208" s="819">
        <v>77764</v>
      </c>
      <c r="Q208" s="820">
        <v>-777.64</v>
      </c>
      <c r="R208" t="str">
        <f t="shared" si="4"/>
        <v>201709</v>
      </c>
      <c r="S208" s="405">
        <f>-Q208</f>
        <v>777.64</v>
      </c>
    </row>
    <row r="209" spans="1:19">
      <c r="A209" s="821" t="s">
        <v>877</v>
      </c>
      <c r="B209" s="821" t="s">
        <v>878</v>
      </c>
      <c r="C209" s="821" t="s">
        <v>879</v>
      </c>
      <c r="D209" s="821" t="s">
        <v>880</v>
      </c>
      <c r="E209" s="821" t="s">
        <v>880</v>
      </c>
      <c r="F209" s="821" t="s">
        <v>881</v>
      </c>
      <c r="G209" s="821" t="s">
        <v>882</v>
      </c>
      <c r="H209" s="821" t="s">
        <v>1032</v>
      </c>
      <c r="I209" s="821" t="s">
        <v>1047</v>
      </c>
      <c r="J209" s="821" t="s">
        <v>885</v>
      </c>
      <c r="K209" s="821" t="s">
        <v>886</v>
      </c>
      <c r="L209" s="821" t="s">
        <v>1047</v>
      </c>
      <c r="M209" s="821" t="s">
        <v>887</v>
      </c>
      <c r="N209" s="821" t="s">
        <v>886</v>
      </c>
      <c r="O209" s="821" t="s">
        <v>886</v>
      </c>
      <c r="P209" s="819">
        <v>8235</v>
      </c>
      <c r="Q209" s="820">
        <v>82.35</v>
      </c>
      <c r="R209" t="str">
        <f t="shared" si="4"/>
        <v>201709</v>
      </c>
      <c r="S209" s="405">
        <f>Q209</f>
        <v>82.35</v>
      </c>
    </row>
    <row r="210" spans="1:19">
      <c r="A210" s="821" t="s">
        <v>877</v>
      </c>
      <c r="B210" s="821" t="s">
        <v>878</v>
      </c>
      <c r="C210" s="821" t="s">
        <v>879</v>
      </c>
      <c r="D210" s="821" t="s">
        <v>880</v>
      </c>
      <c r="E210" s="821" t="s">
        <v>880</v>
      </c>
      <c r="F210" s="821" t="s">
        <v>881</v>
      </c>
      <c r="G210" s="821" t="s">
        <v>882</v>
      </c>
      <c r="H210" s="821" t="s">
        <v>1032</v>
      </c>
      <c r="I210" s="821" t="s">
        <v>1048</v>
      </c>
      <c r="J210" s="821" t="s">
        <v>885</v>
      </c>
      <c r="K210" s="821" t="s">
        <v>886</v>
      </c>
      <c r="L210" s="821" t="s">
        <v>1048</v>
      </c>
      <c r="M210" s="821" t="s">
        <v>887</v>
      </c>
      <c r="N210" s="821" t="s">
        <v>886</v>
      </c>
      <c r="O210" s="821" t="s">
        <v>886</v>
      </c>
      <c r="P210" s="819">
        <v>214837</v>
      </c>
      <c r="Q210" s="820">
        <v>2148.37</v>
      </c>
      <c r="R210" t="str">
        <f t="shared" si="4"/>
        <v>201709</v>
      </c>
      <c r="S210" s="405">
        <f>Q210</f>
        <v>2148.37</v>
      </c>
    </row>
    <row r="211" spans="1:19">
      <c r="A211" s="821" t="s">
        <v>877</v>
      </c>
      <c r="B211" s="821" t="s">
        <v>878</v>
      </c>
      <c r="C211" s="821" t="s">
        <v>879</v>
      </c>
      <c r="D211" s="821" t="s">
        <v>880</v>
      </c>
      <c r="E211" s="821" t="s">
        <v>880</v>
      </c>
      <c r="F211" s="821" t="s">
        <v>881</v>
      </c>
      <c r="G211" s="821" t="s">
        <v>882</v>
      </c>
      <c r="H211" s="821" t="s">
        <v>1032</v>
      </c>
      <c r="I211" s="821" t="s">
        <v>1049</v>
      </c>
      <c r="J211" s="821" t="s">
        <v>885</v>
      </c>
      <c r="K211" s="821" t="s">
        <v>886</v>
      </c>
      <c r="L211" s="821" t="s">
        <v>1049</v>
      </c>
      <c r="M211" s="821" t="s">
        <v>887</v>
      </c>
      <c r="N211" s="821" t="s">
        <v>888</v>
      </c>
      <c r="O211" s="821" t="s">
        <v>886</v>
      </c>
      <c r="P211" s="819">
        <v>13693</v>
      </c>
      <c r="Q211" s="820">
        <v>-136.93</v>
      </c>
      <c r="R211" t="str">
        <f t="shared" si="4"/>
        <v>201709</v>
      </c>
      <c r="S211" s="405">
        <f>-Q211</f>
        <v>136.93</v>
      </c>
    </row>
    <row r="212" spans="1:19">
      <c r="A212" s="821" t="s">
        <v>877</v>
      </c>
      <c r="B212" s="821" t="s">
        <v>878</v>
      </c>
      <c r="C212" s="821" t="s">
        <v>879</v>
      </c>
      <c r="D212" s="821" t="s">
        <v>880</v>
      </c>
      <c r="E212" s="821" t="s">
        <v>880</v>
      </c>
      <c r="F212" s="821" t="s">
        <v>881</v>
      </c>
      <c r="G212" s="821" t="s">
        <v>882</v>
      </c>
      <c r="H212" s="821" t="s">
        <v>1032</v>
      </c>
      <c r="I212" s="821" t="s">
        <v>1050</v>
      </c>
      <c r="J212" s="821" t="s">
        <v>885</v>
      </c>
      <c r="K212" s="821" t="s">
        <v>886</v>
      </c>
      <c r="L212" s="821" t="s">
        <v>1050</v>
      </c>
      <c r="M212" s="821" t="s">
        <v>887</v>
      </c>
      <c r="N212" s="821" t="s">
        <v>886</v>
      </c>
      <c r="O212" s="821" t="s">
        <v>886</v>
      </c>
      <c r="P212" s="819">
        <v>2536</v>
      </c>
      <c r="Q212" s="820">
        <v>25.36</v>
      </c>
      <c r="R212" t="str">
        <f t="shared" si="4"/>
        <v>201709</v>
      </c>
      <c r="S212" s="405">
        <f>Q212</f>
        <v>25.36</v>
      </c>
    </row>
    <row r="213" spans="1:19">
      <c r="A213" s="821" t="s">
        <v>877</v>
      </c>
      <c r="B213" s="821" t="s">
        <v>878</v>
      </c>
      <c r="C213" s="821" t="s">
        <v>879</v>
      </c>
      <c r="D213" s="821" t="s">
        <v>880</v>
      </c>
      <c r="E213" s="821" t="s">
        <v>880</v>
      </c>
      <c r="F213" s="821" t="s">
        <v>881</v>
      </c>
      <c r="G213" s="821" t="s">
        <v>882</v>
      </c>
      <c r="H213" s="821" t="s">
        <v>1032</v>
      </c>
      <c r="I213" s="821" t="s">
        <v>1051</v>
      </c>
      <c r="J213" s="821" t="s">
        <v>885</v>
      </c>
      <c r="K213" s="821" t="s">
        <v>886</v>
      </c>
      <c r="L213" s="821" t="s">
        <v>1051</v>
      </c>
      <c r="M213" s="821" t="s">
        <v>887</v>
      </c>
      <c r="N213" s="821" t="s">
        <v>888</v>
      </c>
      <c r="O213" s="821" t="s">
        <v>886</v>
      </c>
      <c r="P213" s="819">
        <v>120064</v>
      </c>
      <c r="Q213" s="820">
        <v>-1200.6400000000001</v>
      </c>
      <c r="R213" t="str">
        <f t="shared" si="4"/>
        <v>201709</v>
      </c>
      <c r="S213" s="405">
        <f>-Q213</f>
        <v>1200.6400000000001</v>
      </c>
    </row>
    <row r="214" spans="1:19">
      <c r="A214" s="821" t="s">
        <v>877</v>
      </c>
      <c r="B214" s="821" t="s">
        <v>878</v>
      </c>
      <c r="C214" s="821" t="s">
        <v>879</v>
      </c>
      <c r="D214" s="821" t="s">
        <v>880</v>
      </c>
      <c r="E214" s="821" t="s">
        <v>880</v>
      </c>
      <c r="F214" s="821" t="s">
        <v>881</v>
      </c>
      <c r="G214" s="821" t="s">
        <v>882</v>
      </c>
      <c r="H214" s="821" t="s">
        <v>1032</v>
      </c>
      <c r="I214" s="821" t="s">
        <v>1052</v>
      </c>
      <c r="J214" s="821" t="s">
        <v>885</v>
      </c>
      <c r="K214" s="821" t="s">
        <v>886</v>
      </c>
      <c r="L214" s="821" t="s">
        <v>1052</v>
      </c>
      <c r="M214" s="821" t="s">
        <v>887</v>
      </c>
      <c r="N214" s="821" t="s">
        <v>888</v>
      </c>
      <c r="O214" s="821" t="s">
        <v>886</v>
      </c>
      <c r="P214" s="819">
        <v>68663</v>
      </c>
      <c r="Q214" s="820">
        <v>-686.63</v>
      </c>
      <c r="R214" t="str">
        <f t="shared" si="4"/>
        <v>201709</v>
      </c>
      <c r="S214" s="405">
        <f>-Q214</f>
        <v>686.63</v>
      </c>
    </row>
    <row r="215" spans="1:19">
      <c r="A215" s="821" t="s">
        <v>877</v>
      </c>
      <c r="B215" s="821" t="s">
        <v>878</v>
      </c>
      <c r="C215" s="821" t="s">
        <v>879</v>
      </c>
      <c r="D215" s="821" t="s">
        <v>880</v>
      </c>
      <c r="E215" s="821" t="s">
        <v>880</v>
      </c>
      <c r="F215" s="821" t="s">
        <v>881</v>
      </c>
      <c r="G215" s="821" t="s">
        <v>882</v>
      </c>
      <c r="H215" s="821" t="s">
        <v>1032</v>
      </c>
      <c r="I215" s="821" t="s">
        <v>1052</v>
      </c>
      <c r="J215" s="821" t="s">
        <v>885</v>
      </c>
      <c r="K215" s="821" t="s">
        <v>886</v>
      </c>
      <c r="L215" s="821" t="s">
        <v>1052</v>
      </c>
      <c r="M215" s="821" t="s">
        <v>887</v>
      </c>
      <c r="N215" s="821" t="s">
        <v>888</v>
      </c>
      <c r="O215" s="821" t="s">
        <v>886</v>
      </c>
      <c r="P215" s="819">
        <v>7335</v>
      </c>
      <c r="Q215" s="820">
        <v>-73.349999999999994</v>
      </c>
      <c r="R215" t="str">
        <f t="shared" si="4"/>
        <v>201709</v>
      </c>
      <c r="S215" s="405">
        <f>-Q215</f>
        <v>73.349999999999994</v>
      </c>
    </row>
    <row r="216" spans="1:19">
      <c r="A216" s="821" t="s">
        <v>877</v>
      </c>
      <c r="B216" s="821" t="s">
        <v>878</v>
      </c>
      <c r="C216" s="821" t="s">
        <v>879</v>
      </c>
      <c r="D216" s="821" t="s">
        <v>880</v>
      </c>
      <c r="E216" s="821" t="s">
        <v>880</v>
      </c>
      <c r="F216" s="821" t="s">
        <v>881</v>
      </c>
      <c r="G216" s="821" t="s">
        <v>882</v>
      </c>
      <c r="H216" s="821" t="s">
        <v>1032</v>
      </c>
      <c r="I216" s="821" t="s">
        <v>1053</v>
      </c>
      <c r="J216" s="821" t="s">
        <v>885</v>
      </c>
      <c r="K216" s="821" t="s">
        <v>886</v>
      </c>
      <c r="L216" s="821" t="s">
        <v>1053</v>
      </c>
      <c r="M216" s="821" t="s">
        <v>887</v>
      </c>
      <c r="N216" s="821" t="s">
        <v>886</v>
      </c>
      <c r="O216" s="821" t="s">
        <v>886</v>
      </c>
      <c r="P216" s="819">
        <v>7335</v>
      </c>
      <c r="Q216" s="820">
        <v>73.349999999999994</v>
      </c>
      <c r="R216" t="str">
        <f t="shared" si="4"/>
        <v>201710</v>
      </c>
      <c r="S216" s="405">
        <f>Q216</f>
        <v>73.349999999999994</v>
      </c>
    </row>
    <row r="217" spans="1:19">
      <c r="A217" s="821" t="s">
        <v>877</v>
      </c>
      <c r="B217" s="821" t="s">
        <v>878</v>
      </c>
      <c r="C217" s="821" t="s">
        <v>879</v>
      </c>
      <c r="D217" s="821" t="s">
        <v>880</v>
      </c>
      <c r="E217" s="821" t="s">
        <v>880</v>
      </c>
      <c r="F217" s="821" t="s">
        <v>881</v>
      </c>
      <c r="G217" s="821" t="s">
        <v>882</v>
      </c>
      <c r="H217" s="821" t="s">
        <v>1032</v>
      </c>
      <c r="I217" s="821" t="s">
        <v>1053</v>
      </c>
      <c r="J217" s="821" t="s">
        <v>885</v>
      </c>
      <c r="K217" s="821" t="s">
        <v>886</v>
      </c>
      <c r="L217" s="821" t="s">
        <v>1053</v>
      </c>
      <c r="M217" s="821" t="s">
        <v>887</v>
      </c>
      <c r="N217" s="821" t="s">
        <v>886</v>
      </c>
      <c r="O217" s="821" t="s">
        <v>886</v>
      </c>
      <c r="P217" s="819">
        <v>7335</v>
      </c>
      <c r="Q217" s="820">
        <v>73.349999999999994</v>
      </c>
      <c r="R217" t="str">
        <f t="shared" si="4"/>
        <v>201710</v>
      </c>
      <c r="S217" s="405">
        <f>Q217</f>
        <v>73.349999999999994</v>
      </c>
    </row>
    <row r="218" spans="1:19">
      <c r="A218" s="821" t="s">
        <v>877</v>
      </c>
      <c r="B218" s="821" t="s">
        <v>878</v>
      </c>
      <c r="C218" s="821" t="s">
        <v>879</v>
      </c>
      <c r="D218" s="821" t="s">
        <v>880</v>
      </c>
      <c r="E218" s="821" t="s">
        <v>880</v>
      </c>
      <c r="F218" s="821" t="s">
        <v>881</v>
      </c>
      <c r="G218" s="821" t="s">
        <v>882</v>
      </c>
      <c r="H218" s="821" t="s">
        <v>1032</v>
      </c>
      <c r="I218" s="821" t="s">
        <v>1054</v>
      </c>
      <c r="J218" s="821" t="s">
        <v>885</v>
      </c>
      <c r="K218" s="821" t="s">
        <v>886</v>
      </c>
      <c r="L218" s="821" t="s">
        <v>1054</v>
      </c>
      <c r="M218" s="821" t="s">
        <v>887</v>
      </c>
      <c r="N218" s="821" t="s">
        <v>886</v>
      </c>
      <c r="O218" s="821" t="s">
        <v>886</v>
      </c>
      <c r="P218" s="819">
        <v>116909</v>
      </c>
      <c r="Q218" s="820">
        <v>1169.0899999999999</v>
      </c>
      <c r="R218" t="str">
        <f t="shared" si="4"/>
        <v>201710</v>
      </c>
      <c r="S218" s="405">
        <f>Q218</f>
        <v>1169.0899999999999</v>
      </c>
    </row>
    <row r="219" spans="1:19">
      <c r="A219" s="821" t="s">
        <v>877</v>
      </c>
      <c r="B219" s="821" t="s">
        <v>878</v>
      </c>
      <c r="C219" s="821" t="s">
        <v>879</v>
      </c>
      <c r="D219" s="821" t="s">
        <v>880</v>
      </c>
      <c r="E219" s="821" t="s">
        <v>880</v>
      </c>
      <c r="F219" s="821" t="s">
        <v>881</v>
      </c>
      <c r="G219" s="821" t="s">
        <v>882</v>
      </c>
      <c r="H219" s="821" t="s">
        <v>1032</v>
      </c>
      <c r="I219" s="821" t="s">
        <v>1055</v>
      </c>
      <c r="J219" s="821" t="s">
        <v>885</v>
      </c>
      <c r="K219" s="821" t="s">
        <v>886</v>
      </c>
      <c r="L219" s="821" t="s">
        <v>1055</v>
      </c>
      <c r="M219" s="821" t="s">
        <v>887</v>
      </c>
      <c r="N219" s="821" t="s">
        <v>886</v>
      </c>
      <c r="O219" s="821" t="s">
        <v>886</v>
      </c>
      <c r="P219" s="819">
        <v>26435</v>
      </c>
      <c r="Q219" s="820">
        <v>264.35000000000002</v>
      </c>
      <c r="R219" t="str">
        <f t="shared" si="4"/>
        <v>201710</v>
      </c>
      <c r="S219" s="405">
        <f>Q219</f>
        <v>264.35000000000002</v>
      </c>
    </row>
    <row r="220" spans="1:19">
      <c r="A220" s="821" t="s">
        <v>877</v>
      </c>
      <c r="B220" s="821" t="s">
        <v>878</v>
      </c>
      <c r="C220" s="821" t="s">
        <v>879</v>
      </c>
      <c r="D220" s="821" t="s">
        <v>880</v>
      </c>
      <c r="E220" s="821" t="s">
        <v>880</v>
      </c>
      <c r="F220" s="821" t="s">
        <v>881</v>
      </c>
      <c r="G220" s="821" t="s">
        <v>882</v>
      </c>
      <c r="H220" s="821" t="s">
        <v>1032</v>
      </c>
      <c r="I220" s="821" t="s">
        <v>1056</v>
      </c>
      <c r="J220" s="821" t="s">
        <v>885</v>
      </c>
      <c r="K220" s="821" t="s">
        <v>886</v>
      </c>
      <c r="L220" s="821" t="s">
        <v>1056</v>
      </c>
      <c r="M220" s="821" t="s">
        <v>887</v>
      </c>
      <c r="N220" s="821" t="s">
        <v>888</v>
      </c>
      <c r="O220" s="821" t="s">
        <v>886</v>
      </c>
      <c r="P220" s="819">
        <v>108887</v>
      </c>
      <c r="Q220" s="820">
        <v>-1088.8699999999999</v>
      </c>
      <c r="R220" t="str">
        <f t="shared" si="4"/>
        <v>201710</v>
      </c>
      <c r="S220" s="405">
        <f>-Q220</f>
        <v>1088.8699999999999</v>
      </c>
    </row>
    <row r="221" spans="1:19">
      <c r="A221" s="821" t="s">
        <v>877</v>
      </c>
      <c r="B221" s="821" t="s">
        <v>878</v>
      </c>
      <c r="C221" s="821" t="s">
        <v>879</v>
      </c>
      <c r="D221" s="821" t="s">
        <v>880</v>
      </c>
      <c r="E221" s="821" t="s">
        <v>880</v>
      </c>
      <c r="F221" s="821" t="s">
        <v>881</v>
      </c>
      <c r="G221" s="821" t="s">
        <v>882</v>
      </c>
      <c r="H221" s="821" t="s">
        <v>1032</v>
      </c>
      <c r="I221" s="821" t="s">
        <v>1056</v>
      </c>
      <c r="J221" s="821" t="s">
        <v>885</v>
      </c>
      <c r="K221" s="821" t="s">
        <v>886</v>
      </c>
      <c r="L221" s="821" t="s">
        <v>1056</v>
      </c>
      <c r="M221" s="821" t="s">
        <v>887</v>
      </c>
      <c r="N221" s="821" t="s">
        <v>888</v>
      </c>
      <c r="O221" s="821" t="s">
        <v>886</v>
      </c>
      <c r="P221" s="819">
        <v>50853614</v>
      </c>
      <c r="Q221" s="794">
        <v>-508536.14</v>
      </c>
      <c r="R221" t="str">
        <f t="shared" si="4"/>
        <v>201710</v>
      </c>
      <c r="S221" s="405">
        <f>-Q221</f>
        <v>508536.14</v>
      </c>
    </row>
    <row r="222" spans="1:19">
      <c r="A222" s="821" t="s">
        <v>877</v>
      </c>
      <c r="B222" s="821" t="s">
        <v>878</v>
      </c>
      <c r="C222" s="821" t="s">
        <v>879</v>
      </c>
      <c r="D222" s="821" t="s">
        <v>880</v>
      </c>
      <c r="E222" s="821" t="s">
        <v>880</v>
      </c>
      <c r="F222" s="821" t="s">
        <v>881</v>
      </c>
      <c r="G222" s="821" t="s">
        <v>882</v>
      </c>
      <c r="H222" s="821" t="s">
        <v>1032</v>
      </c>
      <c r="I222" s="821" t="s">
        <v>1056</v>
      </c>
      <c r="J222" s="821" t="s">
        <v>885</v>
      </c>
      <c r="K222" s="821" t="s">
        <v>886</v>
      </c>
      <c r="L222" s="821" t="s">
        <v>1056</v>
      </c>
      <c r="M222" s="821" t="s">
        <v>887</v>
      </c>
      <c r="N222" s="821" t="s">
        <v>888</v>
      </c>
      <c r="O222" s="821" t="s">
        <v>886</v>
      </c>
      <c r="P222" s="819">
        <v>20246212</v>
      </c>
      <c r="Q222" s="794">
        <v>-202462.12</v>
      </c>
      <c r="R222" t="str">
        <f t="shared" si="4"/>
        <v>201710</v>
      </c>
      <c r="S222" s="405">
        <f>-Q222</f>
        <v>202462.12</v>
      </c>
    </row>
    <row r="223" spans="1:19">
      <c r="A223" s="821" t="s">
        <v>877</v>
      </c>
      <c r="B223" s="821" t="s">
        <v>878</v>
      </c>
      <c r="C223" s="821" t="s">
        <v>879</v>
      </c>
      <c r="D223" s="821" t="s">
        <v>880</v>
      </c>
      <c r="E223" s="821" t="s">
        <v>880</v>
      </c>
      <c r="F223" s="821" t="s">
        <v>881</v>
      </c>
      <c r="G223" s="821" t="s">
        <v>882</v>
      </c>
      <c r="H223" s="821" t="s">
        <v>1032</v>
      </c>
      <c r="I223" s="821" t="s">
        <v>1057</v>
      </c>
      <c r="J223" s="821" t="s">
        <v>885</v>
      </c>
      <c r="K223" s="821" t="s">
        <v>886</v>
      </c>
      <c r="L223" s="821" t="s">
        <v>1057</v>
      </c>
      <c r="M223" s="821" t="s">
        <v>887</v>
      </c>
      <c r="N223" s="821" t="s">
        <v>886</v>
      </c>
      <c r="O223" s="821" t="s">
        <v>886</v>
      </c>
      <c r="P223" s="819">
        <v>146111</v>
      </c>
      <c r="Q223" s="820">
        <v>1461.11</v>
      </c>
      <c r="R223" t="str">
        <f t="shared" si="4"/>
        <v>201710</v>
      </c>
      <c r="S223" s="405">
        <f>Q223</f>
        <v>1461.11</v>
      </c>
    </row>
    <row r="224" spans="1:19">
      <c r="A224" s="821" t="s">
        <v>877</v>
      </c>
      <c r="B224" s="821" t="s">
        <v>878</v>
      </c>
      <c r="C224" s="821" t="s">
        <v>879</v>
      </c>
      <c r="D224" s="821" t="s">
        <v>880</v>
      </c>
      <c r="E224" s="821" t="s">
        <v>880</v>
      </c>
      <c r="F224" s="821" t="s">
        <v>881</v>
      </c>
      <c r="G224" s="821" t="s">
        <v>882</v>
      </c>
      <c r="H224" s="821" t="s">
        <v>1032</v>
      </c>
      <c r="I224" s="821" t="s">
        <v>1058</v>
      </c>
      <c r="J224" s="821" t="s">
        <v>885</v>
      </c>
      <c r="K224" s="821" t="s">
        <v>886</v>
      </c>
      <c r="L224" s="821" t="s">
        <v>1058</v>
      </c>
      <c r="M224" s="821" t="s">
        <v>887</v>
      </c>
      <c r="N224" s="821" t="s">
        <v>888</v>
      </c>
      <c r="O224" s="821" t="s">
        <v>886</v>
      </c>
      <c r="P224" s="819">
        <v>99887</v>
      </c>
      <c r="Q224" s="820">
        <v>-998.87</v>
      </c>
      <c r="R224" t="str">
        <f t="shared" si="4"/>
        <v>201710</v>
      </c>
      <c r="S224" s="405">
        <f>-Q224</f>
        <v>998.87</v>
      </c>
    </row>
    <row r="225" spans="1:19">
      <c r="A225" s="821" t="s">
        <v>877</v>
      </c>
      <c r="B225" s="821" t="s">
        <v>878</v>
      </c>
      <c r="C225" s="821" t="s">
        <v>879</v>
      </c>
      <c r="D225" s="821" t="s">
        <v>880</v>
      </c>
      <c r="E225" s="821" t="s">
        <v>880</v>
      </c>
      <c r="F225" s="821" t="s">
        <v>881</v>
      </c>
      <c r="G225" s="821" t="s">
        <v>882</v>
      </c>
      <c r="H225" s="821" t="s">
        <v>1032</v>
      </c>
      <c r="I225" s="821" t="s">
        <v>1059</v>
      </c>
      <c r="J225" s="821" t="s">
        <v>885</v>
      </c>
      <c r="K225" s="821" t="s">
        <v>886</v>
      </c>
      <c r="L225" s="821" t="s">
        <v>1059</v>
      </c>
      <c r="M225" s="821" t="s">
        <v>887</v>
      </c>
      <c r="N225" s="821" t="s">
        <v>888</v>
      </c>
      <c r="O225" s="821" t="s">
        <v>886</v>
      </c>
      <c r="P225" s="819">
        <v>39664</v>
      </c>
      <c r="Q225" s="820">
        <v>-396.64</v>
      </c>
      <c r="R225" t="str">
        <f t="shared" si="4"/>
        <v>201710</v>
      </c>
      <c r="S225" s="405">
        <f>-Q225</f>
        <v>396.64</v>
      </c>
    </row>
    <row r="226" spans="1:19">
      <c r="A226" s="821" t="s">
        <v>877</v>
      </c>
      <c r="B226" s="821" t="s">
        <v>878</v>
      </c>
      <c r="C226" s="821" t="s">
        <v>879</v>
      </c>
      <c r="D226" s="821" t="s">
        <v>880</v>
      </c>
      <c r="E226" s="821" t="s">
        <v>880</v>
      </c>
      <c r="F226" s="821" t="s">
        <v>881</v>
      </c>
      <c r="G226" s="821" t="s">
        <v>882</v>
      </c>
      <c r="H226" s="821" t="s">
        <v>1032</v>
      </c>
      <c r="I226" s="821" t="s">
        <v>1059</v>
      </c>
      <c r="J226" s="821" t="s">
        <v>885</v>
      </c>
      <c r="K226" s="821" t="s">
        <v>886</v>
      </c>
      <c r="L226" s="821" t="s">
        <v>1059</v>
      </c>
      <c r="M226" s="821" t="s">
        <v>887</v>
      </c>
      <c r="N226" s="821" t="s">
        <v>888</v>
      </c>
      <c r="O226" s="821" t="s">
        <v>886</v>
      </c>
      <c r="P226" s="819">
        <v>221887</v>
      </c>
      <c r="Q226" s="820">
        <v>-2218.87</v>
      </c>
      <c r="R226" t="str">
        <f t="shared" si="4"/>
        <v>201710</v>
      </c>
      <c r="S226" s="405">
        <f>-Q226</f>
        <v>2218.87</v>
      </c>
    </row>
    <row r="227" spans="1:19">
      <c r="A227" s="821" t="s">
        <v>877</v>
      </c>
      <c r="B227" s="821" t="s">
        <v>878</v>
      </c>
      <c r="C227" s="821" t="s">
        <v>879</v>
      </c>
      <c r="D227" s="821" t="s">
        <v>880</v>
      </c>
      <c r="E227" s="821" t="s">
        <v>880</v>
      </c>
      <c r="F227" s="821" t="s">
        <v>881</v>
      </c>
      <c r="G227" s="821" t="s">
        <v>882</v>
      </c>
      <c r="H227" s="821" t="s">
        <v>1032</v>
      </c>
      <c r="I227" s="821" t="s">
        <v>1059</v>
      </c>
      <c r="J227" s="821" t="s">
        <v>885</v>
      </c>
      <c r="K227" s="821" t="s">
        <v>886</v>
      </c>
      <c r="L227" s="821" t="s">
        <v>1059</v>
      </c>
      <c r="M227" s="821" t="s">
        <v>887</v>
      </c>
      <c r="N227" s="821" t="s">
        <v>886</v>
      </c>
      <c r="O227" s="821" t="s">
        <v>886</v>
      </c>
      <c r="P227" s="819">
        <v>286111</v>
      </c>
      <c r="Q227" s="820">
        <v>2861.11</v>
      </c>
      <c r="R227" t="str">
        <f t="shared" si="4"/>
        <v>201710</v>
      </c>
      <c r="S227" s="405">
        <f>Q227</f>
        <v>2861.11</v>
      </c>
    </row>
    <row r="228" spans="1:19">
      <c r="A228" s="821" t="s">
        <v>877</v>
      </c>
      <c r="B228" s="821" t="s">
        <v>878</v>
      </c>
      <c r="C228" s="821" t="s">
        <v>879</v>
      </c>
      <c r="D228" s="821" t="s">
        <v>880</v>
      </c>
      <c r="E228" s="821" t="s">
        <v>880</v>
      </c>
      <c r="F228" s="821" t="s">
        <v>881</v>
      </c>
      <c r="G228" s="821" t="s">
        <v>882</v>
      </c>
      <c r="H228" s="821" t="s">
        <v>1032</v>
      </c>
      <c r="I228" s="821" t="s">
        <v>1060</v>
      </c>
      <c r="J228" s="821" t="s">
        <v>885</v>
      </c>
      <c r="K228" s="821" t="s">
        <v>886</v>
      </c>
      <c r="L228" s="821" t="s">
        <v>1060</v>
      </c>
      <c r="M228" s="821" t="s">
        <v>887</v>
      </c>
      <c r="N228" s="821" t="s">
        <v>888</v>
      </c>
      <c r="O228" s="821" t="s">
        <v>886</v>
      </c>
      <c r="P228" s="819">
        <v>164887</v>
      </c>
      <c r="Q228" s="820">
        <v>-1648.87</v>
      </c>
      <c r="R228" t="str">
        <f t="shared" si="4"/>
        <v>201710</v>
      </c>
      <c r="S228" s="405">
        <f>-Q228</f>
        <v>1648.87</v>
      </c>
    </row>
    <row r="229" spans="1:19">
      <c r="A229" s="821" t="s">
        <v>877</v>
      </c>
      <c r="B229" s="821" t="s">
        <v>878</v>
      </c>
      <c r="C229" s="821" t="s">
        <v>879</v>
      </c>
      <c r="D229" s="821" t="s">
        <v>880</v>
      </c>
      <c r="E229" s="821" t="s">
        <v>880</v>
      </c>
      <c r="F229" s="821" t="s">
        <v>881</v>
      </c>
      <c r="G229" s="821" t="s">
        <v>882</v>
      </c>
      <c r="H229" s="821" t="s">
        <v>1032</v>
      </c>
      <c r="I229" s="821" t="s">
        <v>1061</v>
      </c>
      <c r="J229" s="821" t="s">
        <v>885</v>
      </c>
      <c r="K229" s="821" t="s">
        <v>886</v>
      </c>
      <c r="L229" s="821" t="s">
        <v>1061</v>
      </c>
      <c r="M229" s="821" t="s">
        <v>887</v>
      </c>
      <c r="N229" s="821" t="s">
        <v>886</v>
      </c>
      <c r="O229" s="821" t="s">
        <v>886</v>
      </c>
      <c r="P229" s="819">
        <v>124112</v>
      </c>
      <c r="Q229" s="820">
        <v>1241.1199999999999</v>
      </c>
      <c r="R229" t="str">
        <f t="shared" si="4"/>
        <v>201710</v>
      </c>
      <c r="S229" s="405">
        <f>Q229</f>
        <v>1241.1199999999999</v>
      </c>
    </row>
    <row r="230" spans="1:19">
      <c r="A230" s="821" t="s">
        <v>877</v>
      </c>
      <c r="B230" s="821" t="s">
        <v>878</v>
      </c>
      <c r="C230" s="821" t="s">
        <v>879</v>
      </c>
      <c r="D230" s="821" t="s">
        <v>880</v>
      </c>
      <c r="E230" s="821" t="s">
        <v>880</v>
      </c>
      <c r="F230" s="821" t="s">
        <v>881</v>
      </c>
      <c r="G230" s="821" t="s">
        <v>882</v>
      </c>
      <c r="H230" s="821" t="s">
        <v>1032</v>
      </c>
      <c r="I230" s="821" t="s">
        <v>1062</v>
      </c>
      <c r="J230" s="821" t="s">
        <v>885</v>
      </c>
      <c r="K230" s="821" t="s">
        <v>886</v>
      </c>
      <c r="L230" s="821" t="s">
        <v>1062</v>
      </c>
      <c r="M230" s="821" t="s">
        <v>887</v>
      </c>
      <c r="N230" s="821" t="s">
        <v>888</v>
      </c>
      <c r="O230" s="821" t="s">
        <v>886</v>
      </c>
      <c r="P230" s="819">
        <v>219636</v>
      </c>
      <c r="Q230" s="820">
        <v>-2196.36</v>
      </c>
      <c r="R230" t="str">
        <f t="shared" si="4"/>
        <v>201710</v>
      </c>
      <c r="S230" s="405">
        <f>-Q230</f>
        <v>2196.36</v>
      </c>
    </row>
    <row r="231" spans="1:19">
      <c r="A231" s="821" t="s">
        <v>877</v>
      </c>
      <c r="B231" s="821" t="s">
        <v>878</v>
      </c>
      <c r="C231" s="821" t="s">
        <v>879</v>
      </c>
      <c r="D231" s="821" t="s">
        <v>880</v>
      </c>
      <c r="E231" s="821" t="s">
        <v>880</v>
      </c>
      <c r="F231" s="821" t="s">
        <v>881</v>
      </c>
      <c r="G231" s="821" t="s">
        <v>882</v>
      </c>
      <c r="H231" s="821" t="s">
        <v>1032</v>
      </c>
      <c r="I231" s="821" t="s">
        <v>1062</v>
      </c>
      <c r="J231" s="821" t="s">
        <v>885</v>
      </c>
      <c r="K231" s="821" t="s">
        <v>886</v>
      </c>
      <c r="L231" s="821" t="s">
        <v>1062</v>
      </c>
      <c r="M231" s="821" t="s">
        <v>887</v>
      </c>
      <c r="N231" s="821" t="s">
        <v>886</v>
      </c>
      <c r="O231" s="821" t="s">
        <v>886</v>
      </c>
      <c r="P231" s="819">
        <v>50000000</v>
      </c>
      <c r="Q231" s="794">
        <v>500000</v>
      </c>
      <c r="R231" t="str">
        <f t="shared" si="4"/>
        <v>201710</v>
      </c>
      <c r="S231" s="405">
        <f>Q231</f>
        <v>500000</v>
      </c>
    </row>
    <row r="232" spans="1:19">
      <c r="A232" s="821" t="s">
        <v>877</v>
      </c>
      <c r="B232" s="821" t="s">
        <v>878</v>
      </c>
      <c r="C232" s="821" t="s">
        <v>879</v>
      </c>
      <c r="D232" s="821" t="s">
        <v>880</v>
      </c>
      <c r="E232" s="821" t="s">
        <v>880</v>
      </c>
      <c r="F232" s="821" t="s">
        <v>881</v>
      </c>
      <c r="G232" s="821" t="s">
        <v>882</v>
      </c>
      <c r="H232" s="821" t="s">
        <v>1032</v>
      </c>
      <c r="I232" s="821" t="s">
        <v>1063</v>
      </c>
      <c r="J232" s="821" t="s">
        <v>885</v>
      </c>
      <c r="K232" s="821" t="s">
        <v>886</v>
      </c>
      <c r="L232" s="821" t="s">
        <v>1063</v>
      </c>
      <c r="M232" s="821" t="s">
        <v>887</v>
      </c>
      <c r="N232" s="821" t="s">
        <v>886</v>
      </c>
      <c r="O232" s="821" t="s">
        <v>886</v>
      </c>
      <c r="P232" s="819">
        <v>112613</v>
      </c>
      <c r="Q232" s="820">
        <v>1126.1300000000001</v>
      </c>
      <c r="R232" t="str">
        <f t="shared" si="4"/>
        <v>201710</v>
      </c>
      <c r="S232" s="405">
        <f>Q232</f>
        <v>1126.1300000000001</v>
      </c>
    </row>
    <row r="233" spans="1:19">
      <c r="A233" s="821" t="s">
        <v>877</v>
      </c>
      <c r="B233" s="821" t="s">
        <v>878</v>
      </c>
      <c r="C233" s="821" t="s">
        <v>879</v>
      </c>
      <c r="D233" s="821" t="s">
        <v>880</v>
      </c>
      <c r="E233" s="821" t="s">
        <v>880</v>
      </c>
      <c r="F233" s="821" t="s">
        <v>881</v>
      </c>
      <c r="G233" s="821" t="s">
        <v>882</v>
      </c>
      <c r="H233" s="821" t="s">
        <v>1032</v>
      </c>
      <c r="I233" s="821" t="s">
        <v>1064</v>
      </c>
      <c r="J233" s="821" t="s">
        <v>885</v>
      </c>
      <c r="K233" s="821" t="s">
        <v>886</v>
      </c>
      <c r="L233" s="821" t="s">
        <v>1064</v>
      </c>
      <c r="M233" s="821" t="s">
        <v>887</v>
      </c>
      <c r="N233" s="821" t="s">
        <v>886</v>
      </c>
      <c r="O233" s="821" t="s">
        <v>886</v>
      </c>
      <c r="P233" s="819">
        <v>46139</v>
      </c>
      <c r="Q233" s="820">
        <v>461.39</v>
      </c>
      <c r="R233" t="str">
        <f t="shared" si="4"/>
        <v>201710</v>
      </c>
      <c r="S233" s="405">
        <f>Q233</f>
        <v>461.39</v>
      </c>
    </row>
    <row r="234" spans="1:19">
      <c r="A234" s="821" t="s">
        <v>877</v>
      </c>
      <c r="B234" s="821" t="s">
        <v>878</v>
      </c>
      <c r="C234" s="821" t="s">
        <v>879</v>
      </c>
      <c r="D234" s="821" t="s">
        <v>880</v>
      </c>
      <c r="E234" s="821" t="s">
        <v>880</v>
      </c>
      <c r="F234" s="821" t="s">
        <v>881</v>
      </c>
      <c r="G234" s="821" t="s">
        <v>882</v>
      </c>
      <c r="H234" s="821" t="s">
        <v>1032</v>
      </c>
      <c r="I234" s="821" t="s">
        <v>1065</v>
      </c>
      <c r="J234" s="821" t="s">
        <v>885</v>
      </c>
      <c r="K234" s="821" t="s">
        <v>886</v>
      </c>
      <c r="L234" s="821" t="s">
        <v>1065</v>
      </c>
      <c r="M234" s="821" t="s">
        <v>887</v>
      </c>
      <c r="N234" s="821" t="s">
        <v>886</v>
      </c>
      <c r="O234" s="821" t="s">
        <v>886</v>
      </c>
      <c r="P234" s="819">
        <v>12141</v>
      </c>
      <c r="Q234" s="820">
        <v>121.41</v>
      </c>
      <c r="R234" t="str">
        <f t="shared" si="4"/>
        <v>201710</v>
      </c>
      <c r="S234" s="405">
        <f>Q234</f>
        <v>121.41</v>
      </c>
    </row>
    <row r="235" spans="1:19">
      <c r="A235" s="821" t="s">
        <v>877</v>
      </c>
      <c r="B235" s="821" t="s">
        <v>878</v>
      </c>
      <c r="C235" s="821" t="s">
        <v>879</v>
      </c>
      <c r="D235" s="821" t="s">
        <v>880</v>
      </c>
      <c r="E235" s="821" t="s">
        <v>880</v>
      </c>
      <c r="F235" s="821" t="s">
        <v>881</v>
      </c>
      <c r="G235" s="821" t="s">
        <v>882</v>
      </c>
      <c r="H235" s="821" t="s">
        <v>1032</v>
      </c>
      <c r="I235" s="821" t="s">
        <v>1066</v>
      </c>
      <c r="J235" s="821" t="s">
        <v>885</v>
      </c>
      <c r="K235" s="821" t="s">
        <v>886</v>
      </c>
      <c r="L235" s="821" t="s">
        <v>1066</v>
      </c>
      <c r="M235" s="821" t="s">
        <v>887</v>
      </c>
      <c r="N235" s="821" t="s">
        <v>888</v>
      </c>
      <c r="O235" s="821" t="s">
        <v>886</v>
      </c>
      <c r="P235" s="819">
        <v>320361</v>
      </c>
      <c r="Q235" s="820">
        <v>-3203.61</v>
      </c>
      <c r="R235" t="str">
        <f t="shared" si="4"/>
        <v>201710</v>
      </c>
      <c r="S235" s="405">
        <f>-Q235</f>
        <v>3203.61</v>
      </c>
    </row>
    <row r="236" spans="1:19">
      <c r="A236" s="821" t="s">
        <v>877</v>
      </c>
      <c r="B236" s="821" t="s">
        <v>878</v>
      </c>
      <c r="C236" s="821" t="s">
        <v>879</v>
      </c>
      <c r="D236" s="821" t="s">
        <v>880</v>
      </c>
      <c r="E236" s="821" t="s">
        <v>880</v>
      </c>
      <c r="F236" s="821" t="s">
        <v>881</v>
      </c>
      <c r="G236" s="821" t="s">
        <v>882</v>
      </c>
      <c r="H236" s="821" t="s">
        <v>1032</v>
      </c>
      <c r="I236" s="821" t="s">
        <v>1067</v>
      </c>
      <c r="J236" s="821" t="s">
        <v>885</v>
      </c>
      <c r="K236" s="821" t="s">
        <v>886</v>
      </c>
      <c r="L236" s="821" t="s">
        <v>1067</v>
      </c>
      <c r="M236" s="821" t="s">
        <v>887</v>
      </c>
      <c r="N236" s="821" t="s">
        <v>886</v>
      </c>
      <c r="O236" s="821" t="s">
        <v>886</v>
      </c>
      <c r="P236" s="819">
        <v>278420</v>
      </c>
      <c r="Q236" s="820">
        <v>2784.2</v>
      </c>
      <c r="R236" t="str">
        <f t="shared" si="4"/>
        <v>201710</v>
      </c>
      <c r="S236" s="405">
        <f>Q236</f>
        <v>2784.2</v>
      </c>
    </row>
    <row r="237" spans="1:19">
      <c r="A237" s="821" t="s">
        <v>877</v>
      </c>
      <c r="B237" s="821" t="s">
        <v>878</v>
      </c>
      <c r="C237" s="821" t="s">
        <v>879</v>
      </c>
      <c r="D237" s="821" t="s">
        <v>880</v>
      </c>
      <c r="E237" s="821" t="s">
        <v>880</v>
      </c>
      <c r="F237" s="821" t="s">
        <v>881</v>
      </c>
      <c r="G237" s="821" t="s">
        <v>882</v>
      </c>
      <c r="H237" s="821" t="s">
        <v>1032</v>
      </c>
      <c r="I237" s="821" t="s">
        <v>1067</v>
      </c>
      <c r="J237" s="821" t="s">
        <v>885</v>
      </c>
      <c r="K237" s="821" t="s">
        <v>886</v>
      </c>
      <c r="L237" s="821" t="s">
        <v>1067</v>
      </c>
      <c r="M237" s="821" t="s">
        <v>887</v>
      </c>
      <c r="N237" s="821" t="s">
        <v>888</v>
      </c>
      <c r="O237" s="821" t="s">
        <v>886</v>
      </c>
      <c r="P237" s="819">
        <v>80997049</v>
      </c>
      <c r="Q237" s="823"/>
      <c r="R237" t="str">
        <f t="shared" si="4"/>
        <v>201710</v>
      </c>
      <c r="S237" s="405">
        <f>-Q237</f>
        <v>0</v>
      </c>
    </row>
    <row r="238" spans="1:19">
      <c r="A238" s="821" t="s">
        <v>877</v>
      </c>
      <c r="B238" s="821" t="s">
        <v>878</v>
      </c>
      <c r="C238" s="821" t="s">
        <v>879</v>
      </c>
      <c r="D238" s="821" t="s">
        <v>880</v>
      </c>
      <c r="E238" s="821" t="s">
        <v>880</v>
      </c>
      <c r="F238" s="821" t="s">
        <v>881</v>
      </c>
      <c r="G238" s="821" t="s">
        <v>882</v>
      </c>
      <c r="H238" s="821" t="s">
        <v>1032</v>
      </c>
      <c r="I238" s="821" t="s">
        <v>1068</v>
      </c>
      <c r="J238" s="821" t="s">
        <v>885</v>
      </c>
      <c r="K238" s="821" t="s">
        <v>886</v>
      </c>
      <c r="L238" s="821" t="s">
        <v>1068</v>
      </c>
      <c r="M238" s="821" t="s">
        <v>887</v>
      </c>
      <c r="N238" s="821" t="s">
        <v>888</v>
      </c>
      <c r="O238" s="821" t="s">
        <v>886</v>
      </c>
      <c r="P238" s="819">
        <v>70360</v>
      </c>
      <c r="Q238" s="820">
        <v>-703.6</v>
      </c>
      <c r="R238" t="str">
        <f t="shared" si="4"/>
        <v>201710</v>
      </c>
      <c r="S238" s="405">
        <f>-Q238</f>
        <v>703.6</v>
      </c>
    </row>
    <row r="239" spans="1:19">
      <c r="A239" s="821" t="s">
        <v>877</v>
      </c>
      <c r="B239" s="821" t="s">
        <v>878</v>
      </c>
      <c r="C239" s="821" t="s">
        <v>879</v>
      </c>
      <c r="D239" s="821" t="s">
        <v>880</v>
      </c>
      <c r="E239" s="821" t="s">
        <v>880</v>
      </c>
      <c r="F239" s="821" t="s">
        <v>881</v>
      </c>
      <c r="G239" s="821" t="s">
        <v>882</v>
      </c>
      <c r="H239" s="821" t="s">
        <v>1032</v>
      </c>
      <c r="I239" s="821" t="s">
        <v>1068</v>
      </c>
      <c r="J239" s="821" t="s">
        <v>885</v>
      </c>
      <c r="K239" s="821" t="s">
        <v>886</v>
      </c>
      <c r="L239" s="821" t="s">
        <v>1068</v>
      </c>
      <c r="M239" s="821" t="s">
        <v>887</v>
      </c>
      <c r="N239" s="821" t="s">
        <v>886</v>
      </c>
      <c r="O239" s="821" t="s">
        <v>886</v>
      </c>
      <c r="P239" s="819">
        <v>80997049</v>
      </c>
      <c r="Q239" s="823"/>
      <c r="R239" t="str">
        <f t="shared" si="4"/>
        <v>201710</v>
      </c>
      <c r="S239" s="405">
        <f>Q239</f>
        <v>0</v>
      </c>
    </row>
    <row r="240" spans="1:19">
      <c r="A240" s="821" t="s">
        <v>877</v>
      </c>
      <c r="B240" s="821" t="s">
        <v>878</v>
      </c>
      <c r="C240" s="821" t="s">
        <v>879</v>
      </c>
      <c r="D240" s="821" t="s">
        <v>880</v>
      </c>
      <c r="E240" s="821" t="s">
        <v>880</v>
      </c>
      <c r="F240" s="821" t="s">
        <v>881</v>
      </c>
      <c r="G240" s="821" t="s">
        <v>882</v>
      </c>
      <c r="H240" s="821" t="s">
        <v>1032</v>
      </c>
      <c r="I240" s="821" t="s">
        <v>1069</v>
      </c>
      <c r="J240" s="821" t="s">
        <v>885</v>
      </c>
      <c r="K240" s="821" t="s">
        <v>886</v>
      </c>
      <c r="L240" s="821" t="s">
        <v>1069</v>
      </c>
      <c r="M240" s="821" t="s">
        <v>887</v>
      </c>
      <c r="N240" s="821" t="s">
        <v>888</v>
      </c>
      <c r="O240" s="821" t="s">
        <v>886</v>
      </c>
      <c r="P240" s="819">
        <v>47360</v>
      </c>
      <c r="Q240" s="820">
        <v>-473.6</v>
      </c>
      <c r="R240" t="str">
        <f t="shared" si="4"/>
        <v>201710</v>
      </c>
      <c r="S240" s="405">
        <f>-Q240</f>
        <v>473.6</v>
      </c>
    </row>
    <row r="241" spans="1:19">
      <c r="A241" s="821" t="s">
        <v>877</v>
      </c>
      <c r="B241" s="821" t="s">
        <v>878</v>
      </c>
      <c r="C241" s="821" t="s">
        <v>879</v>
      </c>
      <c r="D241" s="821" t="s">
        <v>880</v>
      </c>
      <c r="E241" s="821" t="s">
        <v>880</v>
      </c>
      <c r="F241" s="821" t="s">
        <v>881</v>
      </c>
      <c r="G241" s="821" t="s">
        <v>882</v>
      </c>
      <c r="H241" s="821" t="s">
        <v>1032</v>
      </c>
      <c r="I241" s="821" t="s">
        <v>1070</v>
      </c>
      <c r="J241" s="821" t="s">
        <v>885</v>
      </c>
      <c r="K241" s="821" t="s">
        <v>886</v>
      </c>
      <c r="L241" s="821" t="s">
        <v>1070</v>
      </c>
      <c r="M241" s="821" t="s">
        <v>887</v>
      </c>
      <c r="N241" s="821" t="s">
        <v>886</v>
      </c>
      <c r="O241" s="821" t="s">
        <v>886</v>
      </c>
      <c r="P241" s="819">
        <v>76640</v>
      </c>
      <c r="Q241" s="820">
        <v>766.4</v>
      </c>
      <c r="R241" t="str">
        <f t="shared" si="4"/>
        <v>201710</v>
      </c>
      <c r="S241" s="405">
        <f>Q241</f>
        <v>766.4</v>
      </c>
    </row>
    <row r="242" spans="1:19">
      <c r="A242" s="821" t="s">
        <v>877</v>
      </c>
      <c r="B242" s="821" t="s">
        <v>878</v>
      </c>
      <c r="C242" s="821" t="s">
        <v>879</v>
      </c>
      <c r="D242" s="821" t="s">
        <v>880</v>
      </c>
      <c r="E242" s="821" t="s">
        <v>880</v>
      </c>
      <c r="F242" s="821" t="s">
        <v>881</v>
      </c>
      <c r="G242" s="821" t="s">
        <v>882</v>
      </c>
      <c r="H242" s="821" t="s">
        <v>1032</v>
      </c>
      <c r="I242" s="821" t="s">
        <v>1071</v>
      </c>
      <c r="J242" s="821" t="s">
        <v>885</v>
      </c>
      <c r="K242" s="821" t="s">
        <v>886</v>
      </c>
      <c r="L242" s="821" t="s">
        <v>1071</v>
      </c>
      <c r="M242" s="821" t="s">
        <v>887</v>
      </c>
      <c r="N242" s="821" t="s">
        <v>886</v>
      </c>
      <c r="O242" s="821" t="s">
        <v>886</v>
      </c>
      <c r="P242" s="819">
        <v>585640</v>
      </c>
      <c r="Q242" s="820">
        <v>5856.4</v>
      </c>
      <c r="R242" t="str">
        <f t="shared" si="4"/>
        <v>201710</v>
      </c>
      <c r="S242" s="405">
        <f>Q242</f>
        <v>5856.4</v>
      </c>
    </row>
    <row r="243" spans="1:19">
      <c r="A243" s="821" t="s">
        <v>877</v>
      </c>
      <c r="B243" s="821" t="s">
        <v>878</v>
      </c>
      <c r="C243" s="821" t="s">
        <v>879</v>
      </c>
      <c r="D243" s="821" t="s">
        <v>880</v>
      </c>
      <c r="E243" s="821" t="s">
        <v>880</v>
      </c>
      <c r="F243" s="821" t="s">
        <v>881</v>
      </c>
      <c r="G243" s="821" t="s">
        <v>882</v>
      </c>
      <c r="H243" s="821" t="s">
        <v>883</v>
      </c>
      <c r="I243" s="821" t="s">
        <v>1071</v>
      </c>
      <c r="J243" s="821" t="s">
        <v>885</v>
      </c>
      <c r="K243" s="821" t="s">
        <v>886</v>
      </c>
      <c r="L243" s="821" t="s">
        <v>1071</v>
      </c>
      <c r="M243" s="821" t="s">
        <v>887</v>
      </c>
      <c r="N243" s="821" t="s">
        <v>888</v>
      </c>
      <c r="O243" s="821" t="s">
        <v>886</v>
      </c>
      <c r="P243" s="819">
        <v>50010306</v>
      </c>
      <c r="Q243" s="823"/>
      <c r="R243" t="str">
        <f t="shared" si="4"/>
        <v>201710</v>
      </c>
      <c r="S243" s="405">
        <f>-Q243</f>
        <v>0</v>
      </c>
    </row>
    <row r="244" spans="1:19">
      <c r="A244" s="821" t="s">
        <v>877</v>
      </c>
      <c r="B244" s="821" t="s">
        <v>878</v>
      </c>
      <c r="C244" s="821" t="s">
        <v>879</v>
      </c>
      <c r="D244" s="821" t="s">
        <v>880</v>
      </c>
      <c r="E244" s="821" t="s">
        <v>880</v>
      </c>
      <c r="F244" s="821" t="s">
        <v>881</v>
      </c>
      <c r="G244" s="821" t="s">
        <v>882</v>
      </c>
      <c r="H244" s="821" t="s">
        <v>1032</v>
      </c>
      <c r="I244" s="821" t="s">
        <v>1072</v>
      </c>
      <c r="J244" s="821" t="s">
        <v>885</v>
      </c>
      <c r="K244" s="821" t="s">
        <v>886</v>
      </c>
      <c r="L244" s="821" t="s">
        <v>1072</v>
      </c>
      <c r="M244" s="821" t="s">
        <v>887</v>
      </c>
      <c r="N244" s="821" t="s">
        <v>888</v>
      </c>
      <c r="O244" s="821" t="s">
        <v>886</v>
      </c>
      <c r="P244" s="819">
        <v>499664</v>
      </c>
      <c r="Q244" s="820">
        <v>-4996.6400000000003</v>
      </c>
      <c r="R244" t="str">
        <f t="shared" si="4"/>
        <v>201710</v>
      </c>
      <c r="S244" s="405">
        <f>-Q244</f>
        <v>4996.6400000000003</v>
      </c>
    </row>
    <row r="245" spans="1:19">
      <c r="A245" s="821" t="s">
        <v>877</v>
      </c>
      <c r="B245" s="821" t="s">
        <v>878</v>
      </c>
      <c r="C245" s="821" t="s">
        <v>879</v>
      </c>
      <c r="D245" s="821" t="s">
        <v>880</v>
      </c>
      <c r="E245" s="821" t="s">
        <v>880</v>
      </c>
      <c r="F245" s="821" t="s">
        <v>881</v>
      </c>
      <c r="G245" s="821" t="s">
        <v>882</v>
      </c>
      <c r="H245" s="821" t="s">
        <v>1032</v>
      </c>
      <c r="I245" s="821" t="s">
        <v>1072</v>
      </c>
      <c r="J245" s="821" t="s">
        <v>885</v>
      </c>
      <c r="K245" s="821" t="s">
        <v>886</v>
      </c>
      <c r="L245" s="821" t="s">
        <v>1072</v>
      </c>
      <c r="M245" s="821" t="s">
        <v>887</v>
      </c>
      <c r="N245" s="821" t="s">
        <v>888</v>
      </c>
      <c r="O245" s="821" t="s">
        <v>886</v>
      </c>
      <c r="P245" s="819">
        <v>13887</v>
      </c>
      <c r="Q245" s="820">
        <v>-138.87</v>
      </c>
      <c r="R245" t="str">
        <f t="shared" si="4"/>
        <v>201710</v>
      </c>
      <c r="S245" s="405">
        <f>-Q245</f>
        <v>138.87</v>
      </c>
    </row>
    <row r="246" spans="1:19">
      <c r="A246" s="821" t="s">
        <v>877</v>
      </c>
      <c r="B246" s="821" t="s">
        <v>878</v>
      </c>
      <c r="C246" s="821" t="s">
        <v>879</v>
      </c>
      <c r="D246" s="821" t="s">
        <v>880</v>
      </c>
      <c r="E246" s="821" t="s">
        <v>880</v>
      </c>
      <c r="F246" s="821" t="s">
        <v>881</v>
      </c>
      <c r="G246" s="821" t="s">
        <v>882</v>
      </c>
      <c r="H246" s="821" t="s">
        <v>1032</v>
      </c>
      <c r="I246" s="821" t="s">
        <v>1073</v>
      </c>
      <c r="J246" s="821" t="s">
        <v>885</v>
      </c>
      <c r="K246" s="821" t="s">
        <v>886</v>
      </c>
      <c r="L246" s="821" t="s">
        <v>1073</v>
      </c>
      <c r="M246" s="821" t="s">
        <v>887</v>
      </c>
      <c r="N246" s="821" t="s">
        <v>886</v>
      </c>
      <c r="O246" s="821" t="s">
        <v>886</v>
      </c>
      <c r="P246" s="819">
        <v>47168</v>
      </c>
      <c r="Q246" s="820">
        <v>471.68</v>
      </c>
      <c r="R246" t="str">
        <f t="shared" si="4"/>
        <v>201711</v>
      </c>
      <c r="S246" s="405">
        <f>Q246</f>
        <v>471.68</v>
      </c>
    </row>
    <row r="247" spans="1:19">
      <c r="A247" s="821" t="s">
        <v>877</v>
      </c>
      <c r="B247" s="821" t="s">
        <v>878</v>
      </c>
      <c r="C247" s="821" t="s">
        <v>879</v>
      </c>
      <c r="D247" s="821" t="s">
        <v>880</v>
      </c>
      <c r="E247" s="821" t="s">
        <v>880</v>
      </c>
      <c r="F247" s="821" t="s">
        <v>881</v>
      </c>
      <c r="G247" s="821" t="s">
        <v>882</v>
      </c>
      <c r="H247" s="821" t="s">
        <v>1032</v>
      </c>
      <c r="I247" s="821" t="s">
        <v>1074</v>
      </c>
      <c r="J247" s="821" t="s">
        <v>885</v>
      </c>
      <c r="K247" s="821" t="s">
        <v>886</v>
      </c>
      <c r="L247" s="821" t="s">
        <v>1074</v>
      </c>
      <c r="M247" s="821" t="s">
        <v>887</v>
      </c>
      <c r="N247" s="821" t="s">
        <v>888</v>
      </c>
      <c r="O247" s="821" t="s">
        <v>886</v>
      </c>
      <c r="P247" s="819">
        <v>47888</v>
      </c>
      <c r="Q247" s="820">
        <v>-478.88</v>
      </c>
      <c r="R247" t="str">
        <f t="shared" si="4"/>
        <v>201711</v>
      </c>
      <c r="S247" s="405">
        <f>-Q247</f>
        <v>478.88</v>
      </c>
    </row>
    <row r="248" spans="1:19">
      <c r="A248" s="821" t="s">
        <v>877</v>
      </c>
      <c r="B248" s="821" t="s">
        <v>878</v>
      </c>
      <c r="C248" s="821" t="s">
        <v>879</v>
      </c>
      <c r="D248" s="821" t="s">
        <v>880</v>
      </c>
      <c r="E248" s="821" t="s">
        <v>880</v>
      </c>
      <c r="F248" s="821" t="s">
        <v>881</v>
      </c>
      <c r="G248" s="821" t="s">
        <v>882</v>
      </c>
      <c r="H248" s="821" t="s">
        <v>1032</v>
      </c>
      <c r="I248" s="821" t="s">
        <v>1075</v>
      </c>
      <c r="J248" s="821" t="s">
        <v>885</v>
      </c>
      <c r="K248" s="821" t="s">
        <v>886</v>
      </c>
      <c r="L248" s="821" t="s">
        <v>1075</v>
      </c>
      <c r="M248" s="821" t="s">
        <v>887</v>
      </c>
      <c r="N248" s="821" t="s">
        <v>888</v>
      </c>
      <c r="O248" s="821" t="s">
        <v>886</v>
      </c>
      <c r="P248" s="819">
        <v>127440</v>
      </c>
      <c r="Q248" s="820">
        <v>-1274.4000000000001</v>
      </c>
      <c r="R248" t="str">
        <f t="shared" si="4"/>
        <v>201711</v>
      </c>
      <c r="S248" s="405">
        <f>-Q248</f>
        <v>1274.4000000000001</v>
      </c>
    </row>
    <row r="249" spans="1:19">
      <c r="A249" s="821" t="s">
        <v>877</v>
      </c>
      <c r="B249" s="821" t="s">
        <v>878</v>
      </c>
      <c r="C249" s="821" t="s">
        <v>879</v>
      </c>
      <c r="D249" s="821" t="s">
        <v>880</v>
      </c>
      <c r="E249" s="821" t="s">
        <v>880</v>
      </c>
      <c r="F249" s="821" t="s">
        <v>881</v>
      </c>
      <c r="G249" s="821" t="s">
        <v>882</v>
      </c>
      <c r="H249" s="821" t="s">
        <v>1032</v>
      </c>
      <c r="I249" s="821" t="s">
        <v>1076</v>
      </c>
      <c r="J249" s="821" t="s">
        <v>885</v>
      </c>
      <c r="K249" s="821" t="s">
        <v>886</v>
      </c>
      <c r="L249" s="821" t="s">
        <v>1076</v>
      </c>
      <c r="M249" s="821" t="s">
        <v>887</v>
      </c>
      <c r="N249" s="821" t="s">
        <v>886</v>
      </c>
      <c r="O249" s="821" t="s">
        <v>886</v>
      </c>
      <c r="P249" s="819">
        <v>113</v>
      </c>
      <c r="Q249" s="820">
        <v>1.1299999999999999</v>
      </c>
      <c r="R249" t="str">
        <f t="shared" si="4"/>
        <v>201711</v>
      </c>
      <c r="S249" s="405">
        <f>Q249</f>
        <v>1.1299999999999999</v>
      </c>
    </row>
    <row r="250" spans="1:19">
      <c r="A250" s="821" t="s">
        <v>877</v>
      </c>
      <c r="B250" s="821" t="s">
        <v>878</v>
      </c>
      <c r="C250" s="821" t="s">
        <v>879</v>
      </c>
      <c r="D250" s="821" t="s">
        <v>880</v>
      </c>
      <c r="E250" s="821" t="s">
        <v>880</v>
      </c>
      <c r="F250" s="821" t="s">
        <v>881</v>
      </c>
      <c r="G250" s="821" t="s">
        <v>882</v>
      </c>
      <c r="H250" s="821" t="s">
        <v>1032</v>
      </c>
      <c r="I250" s="821" t="s">
        <v>1077</v>
      </c>
      <c r="J250" s="821" t="s">
        <v>885</v>
      </c>
      <c r="K250" s="821" t="s">
        <v>886</v>
      </c>
      <c r="L250" s="821" t="s">
        <v>1077</v>
      </c>
      <c r="M250" s="821" t="s">
        <v>887</v>
      </c>
      <c r="N250" s="821" t="s">
        <v>886</v>
      </c>
      <c r="O250" s="821" t="s">
        <v>886</v>
      </c>
      <c r="P250" s="819">
        <v>27</v>
      </c>
      <c r="Q250" s="820">
        <v>0.27</v>
      </c>
      <c r="R250" t="str">
        <f t="shared" si="4"/>
        <v>201711</v>
      </c>
      <c r="S250" s="405">
        <f>Q250</f>
        <v>0.27</v>
      </c>
    </row>
    <row r="251" spans="1:19">
      <c r="A251" s="821" t="s">
        <v>877</v>
      </c>
      <c r="B251" s="821" t="s">
        <v>878</v>
      </c>
      <c r="C251" s="821" t="s">
        <v>879</v>
      </c>
      <c r="D251" s="821" t="s">
        <v>880</v>
      </c>
      <c r="E251" s="821" t="s">
        <v>880</v>
      </c>
      <c r="F251" s="821" t="s">
        <v>881</v>
      </c>
      <c r="G251" s="821" t="s">
        <v>882</v>
      </c>
      <c r="H251" s="821" t="s">
        <v>1032</v>
      </c>
      <c r="I251" s="821" t="s">
        <v>1077</v>
      </c>
      <c r="J251" s="821" t="s">
        <v>885</v>
      </c>
      <c r="K251" s="821" t="s">
        <v>886</v>
      </c>
      <c r="L251" s="821" t="s">
        <v>1077</v>
      </c>
      <c r="M251" s="821" t="s">
        <v>887</v>
      </c>
      <c r="N251" s="821" t="s">
        <v>886</v>
      </c>
      <c r="O251" s="821" t="s">
        <v>886</v>
      </c>
      <c r="P251" s="819">
        <v>33112</v>
      </c>
      <c r="Q251" s="820">
        <v>331.12</v>
      </c>
      <c r="R251" t="str">
        <f t="shared" si="4"/>
        <v>201711</v>
      </c>
      <c r="S251" s="405">
        <f>Q251</f>
        <v>331.12</v>
      </c>
    </row>
    <row r="252" spans="1:19">
      <c r="A252" s="821" t="s">
        <v>877</v>
      </c>
      <c r="B252" s="821" t="s">
        <v>878</v>
      </c>
      <c r="C252" s="821" t="s">
        <v>879</v>
      </c>
      <c r="D252" s="821" t="s">
        <v>880</v>
      </c>
      <c r="E252" s="821" t="s">
        <v>880</v>
      </c>
      <c r="F252" s="821" t="s">
        <v>881</v>
      </c>
      <c r="G252" s="821" t="s">
        <v>882</v>
      </c>
      <c r="H252" s="821" t="s">
        <v>1032</v>
      </c>
      <c r="I252" s="821" t="s">
        <v>1078</v>
      </c>
      <c r="J252" s="821" t="s">
        <v>885</v>
      </c>
      <c r="K252" s="821" t="s">
        <v>886</v>
      </c>
      <c r="L252" s="821" t="s">
        <v>1078</v>
      </c>
      <c r="M252" s="821" t="s">
        <v>887</v>
      </c>
      <c r="N252" s="821" t="s">
        <v>886</v>
      </c>
      <c r="O252" s="821" t="s">
        <v>886</v>
      </c>
      <c r="P252" s="819">
        <v>337</v>
      </c>
      <c r="Q252" s="820">
        <v>3.37</v>
      </c>
      <c r="R252" t="str">
        <f t="shared" si="4"/>
        <v>201711</v>
      </c>
      <c r="S252" s="405">
        <f>Q252</f>
        <v>3.37</v>
      </c>
    </row>
    <row r="253" spans="1:19">
      <c r="A253" s="821" t="s">
        <v>877</v>
      </c>
      <c r="B253" s="821" t="s">
        <v>878</v>
      </c>
      <c r="C253" s="821" t="s">
        <v>879</v>
      </c>
      <c r="D253" s="821" t="s">
        <v>880</v>
      </c>
      <c r="E253" s="821" t="s">
        <v>880</v>
      </c>
      <c r="F253" s="821" t="s">
        <v>881</v>
      </c>
      <c r="G253" s="821" t="s">
        <v>882</v>
      </c>
      <c r="H253" s="821" t="s">
        <v>1032</v>
      </c>
      <c r="I253" s="821" t="s">
        <v>1079</v>
      </c>
      <c r="J253" s="821" t="s">
        <v>885</v>
      </c>
      <c r="K253" s="821" t="s">
        <v>886</v>
      </c>
      <c r="L253" s="821" t="s">
        <v>1079</v>
      </c>
      <c r="M253" s="821" t="s">
        <v>887</v>
      </c>
      <c r="N253" s="821" t="s">
        <v>888</v>
      </c>
      <c r="O253" s="821" t="s">
        <v>886</v>
      </c>
      <c r="P253" s="819">
        <v>438888</v>
      </c>
      <c r="Q253" s="820">
        <v>-4388.88</v>
      </c>
      <c r="R253" t="str">
        <f t="shared" si="4"/>
        <v>201711</v>
      </c>
      <c r="S253" s="405">
        <f>-Q253</f>
        <v>4388.88</v>
      </c>
    </row>
    <row r="254" spans="1:19">
      <c r="A254" s="821" t="s">
        <v>877</v>
      </c>
      <c r="B254" s="821" t="s">
        <v>878</v>
      </c>
      <c r="C254" s="821" t="s">
        <v>879</v>
      </c>
      <c r="D254" s="821" t="s">
        <v>880</v>
      </c>
      <c r="E254" s="821" t="s">
        <v>880</v>
      </c>
      <c r="F254" s="821" t="s">
        <v>881</v>
      </c>
      <c r="G254" s="821" t="s">
        <v>882</v>
      </c>
      <c r="H254" s="821" t="s">
        <v>1032</v>
      </c>
      <c r="I254" s="821" t="s">
        <v>1079</v>
      </c>
      <c r="J254" s="821" t="s">
        <v>885</v>
      </c>
      <c r="K254" s="821" t="s">
        <v>886</v>
      </c>
      <c r="L254" s="821" t="s">
        <v>1079</v>
      </c>
      <c r="M254" s="821" t="s">
        <v>887</v>
      </c>
      <c r="N254" s="821" t="s">
        <v>888</v>
      </c>
      <c r="O254" s="821" t="s">
        <v>886</v>
      </c>
      <c r="P254" s="819">
        <v>520888</v>
      </c>
      <c r="Q254" s="820">
        <v>-5208.88</v>
      </c>
      <c r="R254" t="str">
        <f t="shared" si="4"/>
        <v>201711</v>
      </c>
      <c r="S254" s="405">
        <f>-Q254</f>
        <v>5208.88</v>
      </c>
    </row>
    <row r="255" spans="1:19">
      <c r="A255" s="821" t="s">
        <v>877</v>
      </c>
      <c r="B255" s="821" t="s">
        <v>878</v>
      </c>
      <c r="C255" s="821" t="s">
        <v>879</v>
      </c>
      <c r="D255" s="821" t="s">
        <v>880</v>
      </c>
      <c r="E255" s="821" t="s">
        <v>880</v>
      </c>
      <c r="F255" s="821" t="s">
        <v>881</v>
      </c>
      <c r="G255" s="821" t="s">
        <v>882</v>
      </c>
      <c r="H255" s="821" t="s">
        <v>1032</v>
      </c>
      <c r="I255" s="821" t="s">
        <v>1080</v>
      </c>
      <c r="J255" s="821" t="s">
        <v>885</v>
      </c>
      <c r="K255" s="821" t="s">
        <v>886</v>
      </c>
      <c r="L255" s="821" t="s">
        <v>1080</v>
      </c>
      <c r="M255" s="821" t="s">
        <v>887</v>
      </c>
      <c r="N255" s="821" t="s">
        <v>886</v>
      </c>
      <c r="O255" s="821" t="s">
        <v>886</v>
      </c>
      <c r="P255" s="819">
        <v>413804</v>
      </c>
      <c r="Q255" s="820">
        <v>4138.04</v>
      </c>
      <c r="R255" t="str">
        <f t="shared" si="4"/>
        <v>201711</v>
      </c>
      <c r="S255" s="405">
        <f>Q255</f>
        <v>4138.04</v>
      </c>
    </row>
    <row r="256" spans="1:19">
      <c r="A256" s="821" t="s">
        <v>877</v>
      </c>
      <c r="B256" s="821" t="s">
        <v>878</v>
      </c>
      <c r="C256" s="821" t="s">
        <v>879</v>
      </c>
      <c r="D256" s="821" t="s">
        <v>880</v>
      </c>
      <c r="E256" s="821" t="s">
        <v>880</v>
      </c>
      <c r="F256" s="821" t="s">
        <v>881</v>
      </c>
      <c r="G256" s="821" t="s">
        <v>882</v>
      </c>
      <c r="H256" s="821" t="s">
        <v>883</v>
      </c>
      <c r="I256" s="821" t="s">
        <v>1080</v>
      </c>
      <c r="J256" s="821" t="s">
        <v>885</v>
      </c>
      <c r="K256" s="821" t="s">
        <v>886</v>
      </c>
      <c r="L256" s="821" t="s">
        <v>1080</v>
      </c>
      <c r="M256" s="821" t="s">
        <v>887</v>
      </c>
      <c r="N256" s="821" t="s">
        <v>886</v>
      </c>
      <c r="O256" s="821" t="s">
        <v>886</v>
      </c>
      <c r="P256" s="819">
        <v>1123000</v>
      </c>
      <c r="Q256" s="820">
        <v>11230</v>
      </c>
      <c r="R256" t="str">
        <f t="shared" si="4"/>
        <v>201711</v>
      </c>
      <c r="S256" s="405">
        <f>Q256</f>
        <v>11230</v>
      </c>
    </row>
    <row r="257" spans="1:19">
      <c r="A257" s="821" t="s">
        <v>877</v>
      </c>
      <c r="B257" s="821" t="s">
        <v>878</v>
      </c>
      <c r="C257" s="821" t="s">
        <v>879</v>
      </c>
      <c r="D257" s="821" t="s">
        <v>880</v>
      </c>
      <c r="E257" s="821" t="s">
        <v>880</v>
      </c>
      <c r="F257" s="821" t="s">
        <v>881</v>
      </c>
      <c r="G257" s="821" t="s">
        <v>882</v>
      </c>
      <c r="H257" s="821" t="s">
        <v>883</v>
      </c>
      <c r="I257" s="821" t="s">
        <v>1080</v>
      </c>
      <c r="J257" s="821" t="s">
        <v>885</v>
      </c>
      <c r="K257" s="821" t="s">
        <v>886</v>
      </c>
      <c r="L257" s="821" t="s">
        <v>1080</v>
      </c>
      <c r="M257" s="821" t="s">
        <v>887</v>
      </c>
      <c r="N257" s="821" t="s">
        <v>888</v>
      </c>
      <c r="O257" s="821" t="s">
        <v>886</v>
      </c>
      <c r="P257" s="819">
        <v>1616093</v>
      </c>
      <c r="Q257" s="820">
        <v>-16160.93</v>
      </c>
      <c r="R257" t="str">
        <f t="shared" si="4"/>
        <v>201711</v>
      </c>
      <c r="S257" s="405">
        <f>-Q257</f>
        <v>16160.93</v>
      </c>
    </row>
    <row r="258" spans="1:19">
      <c r="A258" s="821" t="s">
        <v>877</v>
      </c>
      <c r="B258" s="821" t="s">
        <v>878</v>
      </c>
      <c r="C258" s="821" t="s">
        <v>879</v>
      </c>
      <c r="D258" s="821" t="s">
        <v>880</v>
      </c>
      <c r="E258" s="821" t="s">
        <v>880</v>
      </c>
      <c r="F258" s="821" t="s">
        <v>881</v>
      </c>
      <c r="G258" s="821" t="s">
        <v>882</v>
      </c>
      <c r="H258" s="821" t="s">
        <v>1032</v>
      </c>
      <c r="I258" s="821" t="s">
        <v>1081</v>
      </c>
      <c r="J258" s="821" t="s">
        <v>885</v>
      </c>
      <c r="K258" s="821" t="s">
        <v>886</v>
      </c>
      <c r="L258" s="821" t="s">
        <v>1081</v>
      </c>
      <c r="M258" s="821" t="s">
        <v>887</v>
      </c>
      <c r="N258" s="821" t="s">
        <v>886</v>
      </c>
      <c r="O258" s="821" t="s">
        <v>886</v>
      </c>
      <c r="P258" s="819">
        <v>50000000</v>
      </c>
      <c r="Q258" s="823"/>
      <c r="R258" t="str">
        <f t="shared" si="4"/>
        <v>201711</v>
      </c>
      <c r="S258" s="405">
        <f>Q258</f>
        <v>0</v>
      </c>
    </row>
    <row r="259" spans="1:19">
      <c r="A259" s="821" t="s">
        <v>877</v>
      </c>
      <c r="B259" s="821" t="s">
        <v>878</v>
      </c>
      <c r="C259" s="821" t="s">
        <v>879</v>
      </c>
      <c r="D259" s="821" t="s">
        <v>880</v>
      </c>
      <c r="E259" s="821" t="s">
        <v>880</v>
      </c>
      <c r="F259" s="821" t="s">
        <v>881</v>
      </c>
      <c r="G259" s="821" t="s">
        <v>882</v>
      </c>
      <c r="H259" s="821" t="s">
        <v>1032</v>
      </c>
      <c r="I259" s="821" t="s">
        <v>1082</v>
      </c>
      <c r="J259" s="821" t="s">
        <v>885</v>
      </c>
      <c r="K259" s="821" t="s">
        <v>886</v>
      </c>
      <c r="L259" s="821" t="s">
        <v>1082</v>
      </c>
      <c r="M259" s="821" t="s">
        <v>887</v>
      </c>
      <c r="N259" s="821" t="s">
        <v>886</v>
      </c>
      <c r="O259" s="821" t="s">
        <v>886</v>
      </c>
      <c r="P259" s="819">
        <v>952674</v>
      </c>
      <c r="Q259" s="820">
        <v>9526.74</v>
      </c>
      <c r="R259" t="str">
        <f t="shared" ref="R259:R322" si="5">MID(L259,1,6)</f>
        <v>201711</v>
      </c>
      <c r="S259" s="405">
        <f>Q259</f>
        <v>9526.74</v>
      </c>
    </row>
    <row r="260" spans="1:19">
      <c r="A260" s="821" t="s">
        <v>877</v>
      </c>
      <c r="B260" s="821" t="s">
        <v>878</v>
      </c>
      <c r="C260" s="821" t="s">
        <v>879</v>
      </c>
      <c r="D260" s="821" t="s">
        <v>880</v>
      </c>
      <c r="E260" s="821" t="s">
        <v>880</v>
      </c>
      <c r="F260" s="821" t="s">
        <v>881</v>
      </c>
      <c r="G260" s="821" t="s">
        <v>882</v>
      </c>
      <c r="H260" s="821" t="s">
        <v>1032</v>
      </c>
      <c r="I260" s="821" t="s">
        <v>1083</v>
      </c>
      <c r="J260" s="821" t="s">
        <v>885</v>
      </c>
      <c r="K260" s="821" t="s">
        <v>886</v>
      </c>
      <c r="L260" s="821" t="s">
        <v>1083</v>
      </c>
      <c r="M260" s="821" t="s">
        <v>887</v>
      </c>
      <c r="N260" s="821" t="s">
        <v>886</v>
      </c>
      <c r="O260" s="821" t="s">
        <v>886</v>
      </c>
      <c r="P260" s="819">
        <v>74451</v>
      </c>
      <c r="Q260" s="820">
        <v>744.51</v>
      </c>
      <c r="R260" t="str">
        <f t="shared" si="5"/>
        <v>201711</v>
      </c>
      <c r="S260" s="405">
        <f>Q260</f>
        <v>744.51</v>
      </c>
    </row>
    <row r="261" spans="1:19">
      <c r="A261" s="821" t="s">
        <v>877</v>
      </c>
      <c r="B261" s="821" t="s">
        <v>878</v>
      </c>
      <c r="C261" s="821" t="s">
        <v>879</v>
      </c>
      <c r="D261" s="821" t="s">
        <v>880</v>
      </c>
      <c r="E261" s="821" t="s">
        <v>880</v>
      </c>
      <c r="F261" s="821" t="s">
        <v>881</v>
      </c>
      <c r="G261" s="821" t="s">
        <v>882</v>
      </c>
      <c r="H261" s="821" t="s">
        <v>1032</v>
      </c>
      <c r="I261" s="821" t="s">
        <v>1084</v>
      </c>
      <c r="J261" s="821" t="s">
        <v>885</v>
      </c>
      <c r="K261" s="821" t="s">
        <v>886</v>
      </c>
      <c r="L261" s="821" t="s">
        <v>1084</v>
      </c>
      <c r="M261" s="821" t="s">
        <v>887</v>
      </c>
      <c r="N261" s="821" t="s">
        <v>888</v>
      </c>
      <c r="O261" s="821" t="s">
        <v>886</v>
      </c>
      <c r="P261" s="819">
        <v>398047</v>
      </c>
      <c r="Q261" s="820">
        <v>-3980.47</v>
      </c>
      <c r="R261" t="str">
        <f t="shared" si="5"/>
        <v>201711</v>
      </c>
      <c r="S261" s="405">
        <f>-Q261</f>
        <v>3980.47</v>
      </c>
    </row>
    <row r="262" spans="1:19">
      <c r="A262" s="821" t="s">
        <v>877</v>
      </c>
      <c r="B262" s="821" t="s">
        <v>878</v>
      </c>
      <c r="C262" s="821" t="s">
        <v>879</v>
      </c>
      <c r="D262" s="821" t="s">
        <v>880</v>
      </c>
      <c r="E262" s="821" t="s">
        <v>880</v>
      </c>
      <c r="F262" s="821" t="s">
        <v>881</v>
      </c>
      <c r="G262" s="821" t="s">
        <v>882</v>
      </c>
      <c r="H262" s="821" t="s">
        <v>1032</v>
      </c>
      <c r="I262" s="821" t="s">
        <v>1085</v>
      </c>
      <c r="J262" s="821" t="s">
        <v>885</v>
      </c>
      <c r="K262" s="821" t="s">
        <v>886</v>
      </c>
      <c r="L262" s="821" t="s">
        <v>1085</v>
      </c>
      <c r="M262" s="821" t="s">
        <v>887</v>
      </c>
      <c r="N262" s="821" t="s">
        <v>888</v>
      </c>
      <c r="O262" s="821" t="s">
        <v>886</v>
      </c>
      <c r="P262" s="819">
        <v>337308</v>
      </c>
      <c r="Q262" s="820">
        <v>-3373.08</v>
      </c>
      <c r="R262" t="str">
        <f t="shared" si="5"/>
        <v>201711</v>
      </c>
      <c r="S262" s="405">
        <f>-Q262</f>
        <v>3373.08</v>
      </c>
    </row>
    <row r="263" spans="1:19">
      <c r="A263" s="821" t="s">
        <v>877</v>
      </c>
      <c r="B263" s="821" t="s">
        <v>878</v>
      </c>
      <c r="C263" s="821" t="s">
        <v>879</v>
      </c>
      <c r="D263" s="821" t="s">
        <v>880</v>
      </c>
      <c r="E263" s="821" t="s">
        <v>880</v>
      </c>
      <c r="F263" s="821" t="s">
        <v>881</v>
      </c>
      <c r="G263" s="821" t="s">
        <v>882</v>
      </c>
      <c r="H263" s="821" t="s">
        <v>1032</v>
      </c>
      <c r="I263" s="821" t="s">
        <v>1086</v>
      </c>
      <c r="J263" s="821" t="s">
        <v>885</v>
      </c>
      <c r="K263" s="821" t="s">
        <v>886</v>
      </c>
      <c r="L263" s="821" t="s">
        <v>1086</v>
      </c>
      <c r="M263" s="821" t="s">
        <v>887</v>
      </c>
      <c r="N263" s="821" t="s">
        <v>886</v>
      </c>
      <c r="O263" s="821" t="s">
        <v>886</v>
      </c>
      <c r="P263" s="819">
        <v>284039</v>
      </c>
      <c r="Q263" s="820">
        <v>2840.39</v>
      </c>
      <c r="R263" t="str">
        <f t="shared" si="5"/>
        <v>201711</v>
      </c>
      <c r="S263" s="405">
        <f>Q263</f>
        <v>2840.39</v>
      </c>
    </row>
    <row r="264" spans="1:19">
      <c r="A264" s="821" t="s">
        <v>877</v>
      </c>
      <c r="B264" s="821" t="s">
        <v>878</v>
      </c>
      <c r="C264" s="821" t="s">
        <v>879</v>
      </c>
      <c r="D264" s="821" t="s">
        <v>880</v>
      </c>
      <c r="E264" s="821" t="s">
        <v>880</v>
      </c>
      <c r="F264" s="821" t="s">
        <v>881</v>
      </c>
      <c r="G264" s="821" t="s">
        <v>882</v>
      </c>
      <c r="H264" s="821" t="s">
        <v>1032</v>
      </c>
      <c r="I264" s="821" t="s">
        <v>1086</v>
      </c>
      <c r="J264" s="821" t="s">
        <v>885</v>
      </c>
      <c r="K264" s="821" t="s">
        <v>886</v>
      </c>
      <c r="L264" s="821" t="s">
        <v>1086</v>
      </c>
      <c r="M264" s="821" t="s">
        <v>887</v>
      </c>
      <c r="N264" s="821" t="s">
        <v>886</v>
      </c>
      <c r="O264" s="821" t="s">
        <v>886</v>
      </c>
      <c r="P264" s="819">
        <v>125952</v>
      </c>
      <c r="Q264" s="820">
        <v>1259.52</v>
      </c>
      <c r="R264" t="str">
        <f t="shared" si="5"/>
        <v>201711</v>
      </c>
      <c r="S264" s="405">
        <f>Q264</f>
        <v>1259.52</v>
      </c>
    </row>
    <row r="265" spans="1:19">
      <c r="A265" s="821" t="s">
        <v>877</v>
      </c>
      <c r="B265" s="821" t="s">
        <v>878</v>
      </c>
      <c r="C265" s="821" t="s">
        <v>879</v>
      </c>
      <c r="D265" s="821" t="s">
        <v>880</v>
      </c>
      <c r="E265" s="821" t="s">
        <v>880</v>
      </c>
      <c r="F265" s="821" t="s">
        <v>881</v>
      </c>
      <c r="G265" s="821" t="s">
        <v>882</v>
      </c>
      <c r="H265" s="821" t="s">
        <v>1032</v>
      </c>
      <c r="I265" s="821" t="s">
        <v>1087</v>
      </c>
      <c r="J265" s="821" t="s">
        <v>885</v>
      </c>
      <c r="K265" s="821" t="s">
        <v>886</v>
      </c>
      <c r="L265" s="821" t="s">
        <v>1087</v>
      </c>
      <c r="M265" s="821" t="s">
        <v>887</v>
      </c>
      <c r="N265" s="821" t="s">
        <v>888</v>
      </c>
      <c r="O265" s="821" t="s">
        <v>886</v>
      </c>
      <c r="P265" s="819">
        <v>20046</v>
      </c>
      <c r="Q265" s="820">
        <v>-200.46</v>
      </c>
      <c r="R265" t="str">
        <f t="shared" si="5"/>
        <v>201712</v>
      </c>
      <c r="S265" s="405">
        <f>-Q265</f>
        <v>200.46</v>
      </c>
    </row>
    <row r="266" spans="1:19">
      <c r="A266" s="821" t="s">
        <v>877</v>
      </c>
      <c r="B266" s="821" t="s">
        <v>878</v>
      </c>
      <c r="C266" s="821" t="s">
        <v>879</v>
      </c>
      <c r="D266" s="821" t="s">
        <v>880</v>
      </c>
      <c r="E266" s="821" t="s">
        <v>880</v>
      </c>
      <c r="F266" s="821" t="s">
        <v>881</v>
      </c>
      <c r="G266" s="821" t="s">
        <v>882</v>
      </c>
      <c r="H266" s="821" t="s">
        <v>1032</v>
      </c>
      <c r="I266" s="821" t="s">
        <v>1088</v>
      </c>
      <c r="J266" s="821" t="s">
        <v>885</v>
      </c>
      <c r="K266" s="821" t="s">
        <v>886</v>
      </c>
      <c r="L266" s="821" t="s">
        <v>1088</v>
      </c>
      <c r="M266" s="821" t="s">
        <v>887</v>
      </c>
      <c r="N266" s="821" t="s">
        <v>888</v>
      </c>
      <c r="O266" s="821" t="s">
        <v>886</v>
      </c>
      <c r="P266" s="819">
        <v>95644</v>
      </c>
      <c r="Q266" s="820">
        <v>-956.44</v>
      </c>
      <c r="R266" t="str">
        <f t="shared" si="5"/>
        <v>201712</v>
      </c>
      <c r="S266" s="405">
        <f>-Q266</f>
        <v>956.44</v>
      </c>
    </row>
    <row r="267" spans="1:19">
      <c r="A267" s="821" t="s">
        <v>877</v>
      </c>
      <c r="B267" s="821" t="s">
        <v>878</v>
      </c>
      <c r="C267" s="821" t="s">
        <v>879</v>
      </c>
      <c r="D267" s="821" t="s">
        <v>880</v>
      </c>
      <c r="E267" s="821" t="s">
        <v>880</v>
      </c>
      <c r="F267" s="821" t="s">
        <v>881</v>
      </c>
      <c r="G267" s="821" t="s">
        <v>882</v>
      </c>
      <c r="H267" s="821" t="s">
        <v>1032</v>
      </c>
      <c r="I267" s="821" t="s">
        <v>1089</v>
      </c>
      <c r="J267" s="821" t="s">
        <v>885</v>
      </c>
      <c r="K267" s="821" t="s">
        <v>886</v>
      </c>
      <c r="L267" s="821" t="s">
        <v>1089</v>
      </c>
      <c r="M267" s="821" t="s">
        <v>887</v>
      </c>
      <c r="N267" s="821" t="s">
        <v>886</v>
      </c>
      <c r="O267" s="821" t="s">
        <v>886</v>
      </c>
      <c r="P267" s="819">
        <v>86953</v>
      </c>
      <c r="Q267" s="820">
        <v>869.53</v>
      </c>
      <c r="R267" t="str">
        <f t="shared" si="5"/>
        <v>201712</v>
      </c>
      <c r="S267" s="405">
        <f>Q267</f>
        <v>869.53</v>
      </c>
    </row>
    <row r="268" spans="1:19">
      <c r="A268" s="821" t="s">
        <v>877</v>
      </c>
      <c r="B268" s="821" t="s">
        <v>878</v>
      </c>
      <c r="C268" s="821" t="s">
        <v>879</v>
      </c>
      <c r="D268" s="821" t="s">
        <v>880</v>
      </c>
      <c r="E268" s="821" t="s">
        <v>880</v>
      </c>
      <c r="F268" s="821" t="s">
        <v>881</v>
      </c>
      <c r="G268" s="821" t="s">
        <v>882</v>
      </c>
      <c r="H268" s="821" t="s">
        <v>1032</v>
      </c>
      <c r="I268" s="821" t="s">
        <v>1090</v>
      </c>
      <c r="J268" s="821" t="s">
        <v>885</v>
      </c>
      <c r="K268" s="821" t="s">
        <v>886</v>
      </c>
      <c r="L268" s="821" t="s">
        <v>1090</v>
      </c>
      <c r="M268" s="821" t="s">
        <v>887</v>
      </c>
      <c r="N268" s="821" t="s">
        <v>886</v>
      </c>
      <c r="O268" s="821" t="s">
        <v>886</v>
      </c>
      <c r="P268" s="819">
        <v>142452</v>
      </c>
      <c r="Q268" s="820">
        <v>1424.52</v>
      </c>
      <c r="R268" t="str">
        <f t="shared" si="5"/>
        <v>201712</v>
      </c>
      <c r="S268" s="405">
        <f>Q268</f>
        <v>1424.52</v>
      </c>
    </row>
    <row r="269" spans="1:19">
      <c r="A269" s="821" t="s">
        <v>877</v>
      </c>
      <c r="B269" s="821" t="s">
        <v>878</v>
      </c>
      <c r="C269" s="821" t="s">
        <v>879</v>
      </c>
      <c r="D269" s="821" t="s">
        <v>880</v>
      </c>
      <c r="E269" s="821" t="s">
        <v>880</v>
      </c>
      <c r="F269" s="821" t="s">
        <v>881</v>
      </c>
      <c r="G269" s="821" t="s">
        <v>882</v>
      </c>
      <c r="H269" s="821" t="s">
        <v>1032</v>
      </c>
      <c r="I269" s="821" t="s">
        <v>1091</v>
      </c>
      <c r="J269" s="821" t="s">
        <v>885</v>
      </c>
      <c r="K269" s="821" t="s">
        <v>886</v>
      </c>
      <c r="L269" s="821" t="s">
        <v>1091</v>
      </c>
      <c r="M269" s="821" t="s">
        <v>887</v>
      </c>
      <c r="N269" s="821" t="s">
        <v>888</v>
      </c>
      <c r="O269" s="821" t="s">
        <v>886</v>
      </c>
      <c r="P269" s="819">
        <v>333047</v>
      </c>
      <c r="Q269" s="820">
        <v>-3330.47</v>
      </c>
      <c r="R269" t="str">
        <f t="shared" si="5"/>
        <v>201712</v>
      </c>
      <c r="S269" s="405">
        <f>-Q269</f>
        <v>3330.47</v>
      </c>
    </row>
    <row r="270" spans="1:19">
      <c r="A270" s="821" t="s">
        <v>877</v>
      </c>
      <c r="B270" s="821" t="s">
        <v>878</v>
      </c>
      <c r="C270" s="821" t="s">
        <v>879</v>
      </c>
      <c r="D270" s="821" t="s">
        <v>880</v>
      </c>
      <c r="E270" s="821" t="s">
        <v>880</v>
      </c>
      <c r="F270" s="821" t="s">
        <v>881</v>
      </c>
      <c r="G270" s="821" t="s">
        <v>882</v>
      </c>
      <c r="H270" s="821" t="s">
        <v>1032</v>
      </c>
      <c r="I270" s="821" t="s">
        <v>1092</v>
      </c>
      <c r="J270" s="821" t="s">
        <v>885</v>
      </c>
      <c r="K270" s="821" t="s">
        <v>886</v>
      </c>
      <c r="L270" s="821" t="s">
        <v>1092</v>
      </c>
      <c r="M270" s="821" t="s">
        <v>887</v>
      </c>
      <c r="N270" s="821" t="s">
        <v>886</v>
      </c>
      <c r="O270" s="821" t="s">
        <v>886</v>
      </c>
      <c r="P270" s="819">
        <v>51597</v>
      </c>
      <c r="Q270" s="820">
        <v>515.97</v>
      </c>
      <c r="R270" t="str">
        <f t="shared" si="5"/>
        <v>201712</v>
      </c>
      <c r="S270" s="405">
        <f>Q270</f>
        <v>515.97</v>
      </c>
    </row>
    <row r="271" spans="1:19">
      <c r="A271" s="821" t="s">
        <v>877</v>
      </c>
      <c r="B271" s="821" t="s">
        <v>878</v>
      </c>
      <c r="C271" s="821" t="s">
        <v>879</v>
      </c>
      <c r="D271" s="821" t="s">
        <v>880</v>
      </c>
      <c r="E271" s="821" t="s">
        <v>880</v>
      </c>
      <c r="F271" s="821" t="s">
        <v>881</v>
      </c>
      <c r="G271" s="821" t="s">
        <v>882</v>
      </c>
      <c r="H271" s="821" t="s">
        <v>1032</v>
      </c>
      <c r="I271" s="821" t="s">
        <v>1092</v>
      </c>
      <c r="J271" s="821" t="s">
        <v>885</v>
      </c>
      <c r="K271" s="821" t="s">
        <v>886</v>
      </c>
      <c r="L271" s="821" t="s">
        <v>1092</v>
      </c>
      <c r="M271" s="821" t="s">
        <v>887</v>
      </c>
      <c r="N271" s="821" t="s">
        <v>886</v>
      </c>
      <c r="O271" s="821" t="s">
        <v>886</v>
      </c>
      <c r="P271" s="819">
        <v>20000000</v>
      </c>
      <c r="Q271" s="794">
        <v>200000</v>
      </c>
      <c r="R271" t="str">
        <f t="shared" si="5"/>
        <v>201712</v>
      </c>
      <c r="S271" s="405">
        <f>Q271</f>
        <v>200000</v>
      </c>
    </row>
    <row r="272" spans="1:19">
      <c r="A272" s="821" t="s">
        <v>877</v>
      </c>
      <c r="B272" s="821" t="s">
        <v>878</v>
      </c>
      <c r="C272" s="821" t="s">
        <v>879</v>
      </c>
      <c r="D272" s="821" t="s">
        <v>880</v>
      </c>
      <c r="E272" s="821" t="s">
        <v>880</v>
      </c>
      <c r="F272" s="821" t="s">
        <v>881</v>
      </c>
      <c r="G272" s="821" t="s">
        <v>882</v>
      </c>
      <c r="H272" s="821" t="s">
        <v>1032</v>
      </c>
      <c r="I272" s="821" t="s">
        <v>1093</v>
      </c>
      <c r="J272" s="821" t="s">
        <v>885</v>
      </c>
      <c r="K272" s="821" t="s">
        <v>886</v>
      </c>
      <c r="L272" s="821" t="s">
        <v>1093</v>
      </c>
      <c r="M272" s="821" t="s">
        <v>887</v>
      </c>
      <c r="N272" s="821" t="s">
        <v>888</v>
      </c>
      <c r="O272" s="821" t="s">
        <v>886</v>
      </c>
      <c r="P272" s="819">
        <v>448647</v>
      </c>
      <c r="Q272" s="820">
        <v>-4486.47</v>
      </c>
      <c r="R272" t="str">
        <f t="shared" si="5"/>
        <v>201712</v>
      </c>
      <c r="S272" s="405">
        <f>-Q272</f>
        <v>4486.47</v>
      </c>
    </row>
    <row r="273" spans="1:19">
      <c r="A273" s="821" t="s">
        <v>877</v>
      </c>
      <c r="B273" s="821" t="s">
        <v>878</v>
      </c>
      <c r="C273" s="821" t="s">
        <v>879</v>
      </c>
      <c r="D273" s="821" t="s">
        <v>880</v>
      </c>
      <c r="E273" s="821" t="s">
        <v>880</v>
      </c>
      <c r="F273" s="821" t="s">
        <v>881</v>
      </c>
      <c r="G273" s="821" t="s">
        <v>882</v>
      </c>
      <c r="H273" s="821" t="s">
        <v>1032</v>
      </c>
      <c r="I273" s="821" t="s">
        <v>1094</v>
      </c>
      <c r="J273" s="821" t="s">
        <v>885</v>
      </c>
      <c r="K273" s="821" t="s">
        <v>886</v>
      </c>
      <c r="L273" s="821" t="s">
        <v>1094</v>
      </c>
      <c r="M273" s="821" t="s">
        <v>887</v>
      </c>
      <c r="N273" s="821" t="s">
        <v>886</v>
      </c>
      <c r="O273" s="821" t="s">
        <v>886</v>
      </c>
      <c r="P273" s="819">
        <v>512943</v>
      </c>
      <c r="Q273" s="820">
        <v>5129.43</v>
      </c>
      <c r="R273" t="str">
        <f t="shared" si="5"/>
        <v>201712</v>
      </c>
      <c r="S273" s="405">
        <f>Q273</f>
        <v>5129.43</v>
      </c>
    </row>
    <row r="274" spans="1:19">
      <c r="A274" s="821" t="s">
        <v>877</v>
      </c>
      <c r="B274" s="821" t="s">
        <v>878</v>
      </c>
      <c r="C274" s="821" t="s">
        <v>879</v>
      </c>
      <c r="D274" s="821" t="s">
        <v>880</v>
      </c>
      <c r="E274" s="821" t="s">
        <v>880</v>
      </c>
      <c r="F274" s="821" t="s">
        <v>881</v>
      </c>
      <c r="G274" s="821" t="s">
        <v>882</v>
      </c>
      <c r="H274" s="821" t="s">
        <v>1032</v>
      </c>
      <c r="I274" s="821" t="s">
        <v>1095</v>
      </c>
      <c r="J274" s="821" t="s">
        <v>885</v>
      </c>
      <c r="K274" s="821" t="s">
        <v>886</v>
      </c>
      <c r="L274" s="821" t="s">
        <v>1095</v>
      </c>
      <c r="M274" s="821" t="s">
        <v>887</v>
      </c>
      <c r="N274" s="821" t="s">
        <v>888</v>
      </c>
      <c r="O274" s="821" t="s">
        <v>886</v>
      </c>
      <c r="P274" s="819">
        <v>11758</v>
      </c>
      <c r="Q274" s="820">
        <v>-117.58</v>
      </c>
      <c r="R274" t="str">
        <f t="shared" si="5"/>
        <v>201712</v>
      </c>
      <c r="S274" s="405">
        <f>-Q274</f>
        <v>117.58</v>
      </c>
    </row>
    <row r="275" spans="1:19">
      <c r="A275" s="821" t="s">
        <v>877</v>
      </c>
      <c r="B275" s="821" t="s">
        <v>878</v>
      </c>
      <c r="C275" s="821" t="s">
        <v>879</v>
      </c>
      <c r="D275" s="821" t="s">
        <v>880</v>
      </c>
      <c r="E275" s="821" t="s">
        <v>880</v>
      </c>
      <c r="F275" s="821" t="s">
        <v>881</v>
      </c>
      <c r="G275" s="821" t="s">
        <v>882</v>
      </c>
      <c r="H275" s="821" t="s">
        <v>1032</v>
      </c>
      <c r="I275" s="821" t="s">
        <v>1096</v>
      </c>
      <c r="J275" s="821" t="s">
        <v>885</v>
      </c>
      <c r="K275" s="821" t="s">
        <v>886</v>
      </c>
      <c r="L275" s="821" t="s">
        <v>1096</v>
      </c>
      <c r="M275" s="821" t="s">
        <v>887</v>
      </c>
      <c r="N275" s="821" t="s">
        <v>886</v>
      </c>
      <c r="O275" s="821" t="s">
        <v>886</v>
      </c>
      <c r="P275" s="819">
        <v>557543</v>
      </c>
      <c r="Q275" s="820">
        <v>5575.43</v>
      </c>
      <c r="R275" t="str">
        <f t="shared" si="5"/>
        <v>201712</v>
      </c>
      <c r="S275" s="405">
        <f>Q275</f>
        <v>5575.43</v>
      </c>
    </row>
    <row r="276" spans="1:19">
      <c r="A276" s="821" t="s">
        <v>877</v>
      </c>
      <c r="B276" s="821" t="s">
        <v>878</v>
      </c>
      <c r="C276" s="821" t="s">
        <v>879</v>
      </c>
      <c r="D276" s="821" t="s">
        <v>880</v>
      </c>
      <c r="E276" s="821" t="s">
        <v>880</v>
      </c>
      <c r="F276" s="821" t="s">
        <v>881</v>
      </c>
      <c r="G276" s="821" t="s">
        <v>882</v>
      </c>
      <c r="H276" s="821" t="s">
        <v>1032</v>
      </c>
      <c r="I276" s="821" t="s">
        <v>1097</v>
      </c>
      <c r="J276" s="821" t="s">
        <v>885</v>
      </c>
      <c r="K276" s="821" t="s">
        <v>886</v>
      </c>
      <c r="L276" s="821" t="s">
        <v>1097</v>
      </c>
      <c r="M276" s="821" t="s">
        <v>887</v>
      </c>
      <c r="N276" s="821" t="s">
        <v>888</v>
      </c>
      <c r="O276" s="821" t="s">
        <v>886</v>
      </c>
      <c r="P276" s="819">
        <v>619672</v>
      </c>
      <c r="Q276" s="820">
        <v>-6196.72</v>
      </c>
      <c r="R276" t="str">
        <f t="shared" si="5"/>
        <v>201712</v>
      </c>
      <c r="S276" s="405">
        <f>-Q276</f>
        <v>6196.72</v>
      </c>
    </row>
    <row r="277" spans="1:19">
      <c r="A277" s="821" t="s">
        <v>877</v>
      </c>
      <c r="B277" s="821" t="s">
        <v>878</v>
      </c>
      <c r="C277" s="821" t="s">
        <v>879</v>
      </c>
      <c r="D277" s="821" t="s">
        <v>880</v>
      </c>
      <c r="E277" s="821" t="s">
        <v>880</v>
      </c>
      <c r="F277" s="821" t="s">
        <v>881</v>
      </c>
      <c r="G277" s="821" t="s">
        <v>882</v>
      </c>
      <c r="H277" s="821" t="s">
        <v>1032</v>
      </c>
      <c r="I277" s="821" t="s">
        <v>1098</v>
      </c>
      <c r="J277" s="821" t="s">
        <v>885</v>
      </c>
      <c r="K277" s="821" t="s">
        <v>886</v>
      </c>
      <c r="L277" s="821" t="s">
        <v>1098</v>
      </c>
      <c r="M277" s="821" t="s">
        <v>887</v>
      </c>
      <c r="N277" s="821" t="s">
        <v>886</v>
      </c>
      <c r="O277" s="821" t="s">
        <v>886</v>
      </c>
      <c r="P277" s="819">
        <v>93952</v>
      </c>
      <c r="Q277" s="820">
        <v>939.52</v>
      </c>
      <c r="R277" t="str">
        <f t="shared" si="5"/>
        <v>201712</v>
      </c>
      <c r="S277" s="405">
        <f>Q277</f>
        <v>939.52</v>
      </c>
    </row>
    <row r="278" spans="1:19">
      <c r="A278" s="821" t="s">
        <v>877</v>
      </c>
      <c r="B278" s="821" t="s">
        <v>878</v>
      </c>
      <c r="C278" s="821" t="s">
        <v>879</v>
      </c>
      <c r="D278" s="821" t="s">
        <v>880</v>
      </c>
      <c r="E278" s="821" t="s">
        <v>880</v>
      </c>
      <c r="F278" s="821" t="s">
        <v>881</v>
      </c>
      <c r="G278" s="821" t="s">
        <v>882</v>
      </c>
      <c r="H278" s="821" t="s">
        <v>1032</v>
      </c>
      <c r="I278" s="821" t="s">
        <v>1098</v>
      </c>
      <c r="J278" s="821" t="s">
        <v>885</v>
      </c>
      <c r="K278" s="821" t="s">
        <v>886</v>
      </c>
      <c r="L278" s="821" t="s">
        <v>1098</v>
      </c>
      <c r="M278" s="821" t="s">
        <v>887</v>
      </c>
      <c r="N278" s="821" t="s">
        <v>888</v>
      </c>
      <c r="O278" s="821" t="s">
        <v>886</v>
      </c>
      <c r="P278" s="819">
        <v>20008533</v>
      </c>
      <c r="Q278" s="823"/>
      <c r="R278" t="str">
        <f t="shared" si="5"/>
        <v>201712</v>
      </c>
      <c r="S278" s="405">
        <f>-Q278</f>
        <v>0</v>
      </c>
    </row>
    <row r="279" spans="1:19">
      <c r="A279" s="821" t="s">
        <v>877</v>
      </c>
      <c r="B279" s="821" t="s">
        <v>878</v>
      </c>
      <c r="C279" s="821" t="s">
        <v>879</v>
      </c>
      <c r="D279" s="821" t="s">
        <v>880</v>
      </c>
      <c r="E279" s="821" t="s">
        <v>880</v>
      </c>
      <c r="F279" s="821" t="s">
        <v>881</v>
      </c>
      <c r="G279" s="821" t="s">
        <v>882</v>
      </c>
      <c r="H279" s="821" t="s">
        <v>1032</v>
      </c>
      <c r="I279" s="821" t="s">
        <v>1099</v>
      </c>
      <c r="J279" s="821" t="s">
        <v>885</v>
      </c>
      <c r="K279" s="821" t="s">
        <v>886</v>
      </c>
      <c r="L279" s="821" t="s">
        <v>1099</v>
      </c>
      <c r="M279" s="821" t="s">
        <v>887</v>
      </c>
      <c r="N279" s="821" t="s">
        <v>888</v>
      </c>
      <c r="O279" s="821" t="s">
        <v>886</v>
      </c>
      <c r="P279" s="819">
        <v>44048</v>
      </c>
      <c r="Q279" s="820">
        <v>-440.48</v>
      </c>
      <c r="R279" t="str">
        <f t="shared" si="5"/>
        <v>201712</v>
      </c>
      <c r="S279" s="405">
        <f>-Q279</f>
        <v>440.48</v>
      </c>
    </row>
    <row r="280" spans="1:19">
      <c r="A280" s="821" t="s">
        <v>877</v>
      </c>
      <c r="B280" s="821" t="s">
        <v>878</v>
      </c>
      <c r="C280" s="821" t="s">
        <v>879</v>
      </c>
      <c r="D280" s="821" t="s">
        <v>880</v>
      </c>
      <c r="E280" s="821" t="s">
        <v>880</v>
      </c>
      <c r="F280" s="821" t="s">
        <v>881</v>
      </c>
      <c r="G280" s="821" t="s">
        <v>882</v>
      </c>
      <c r="H280" s="821" t="s">
        <v>1032</v>
      </c>
      <c r="I280" s="821" t="s">
        <v>1099</v>
      </c>
      <c r="J280" s="821" t="s">
        <v>885</v>
      </c>
      <c r="K280" s="821" t="s">
        <v>886</v>
      </c>
      <c r="L280" s="821" t="s">
        <v>1099</v>
      </c>
      <c r="M280" s="821" t="s">
        <v>887</v>
      </c>
      <c r="N280" s="821" t="s">
        <v>886</v>
      </c>
      <c r="O280" s="821" t="s">
        <v>886</v>
      </c>
      <c r="P280" s="819">
        <v>226952</v>
      </c>
      <c r="Q280" s="820">
        <v>2269.52</v>
      </c>
      <c r="R280" t="str">
        <f t="shared" si="5"/>
        <v>201712</v>
      </c>
      <c r="S280" s="405">
        <f>Q280</f>
        <v>2269.52</v>
      </c>
    </row>
    <row r="281" spans="1:19">
      <c r="A281" s="821" t="s">
        <v>877</v>
      </c>
      <c r="B281" s="821" t="s">
        <v>878</v>
      </c>
      <c r="C281" s="821" t="s">
        <v>879</v>
      </c>
      <c r="D281" s="821" t="s">
        <v>880</v>
      </c>
      <c r="E281" s="821" t="s">
        <v>880</v>
      </c>
      <c r="F281" s="821" t="s">
        <v>881</v>
      </c>
      <c r="G281" s="821" t="s">
        <v>882</v>
      </c>
      <c r="H281" s="821" t="s">
        <v>1032</v>
      </c>
      <c r="I281" s="821" t="s">
        <v>1100</v>
      </c>
      <c r="J281" s="821" t="s">
        <v>885</v>
      </c>
      <c r="K281" s="821" t="s">
        <v>886</v>
      </c>
      <c r="L281" s="821" t="s">
        <v>1100</v>
      </c>
      <c r="M281" s="821" t="s">
        <v>887</v>
      </c>
      <c r="N281" s="821" t="s">
        <v>888</v>
      </c>
      <c r="O281" s="821" t="s">
        <v>886</v>
      </c>
      <c r="P281" s="819">
        <v>171048</v>
      </c>
      <c r="Q281" s="820">
        <v>-1710.48</v>
      </c>
      <c r="R281" t="str">
        <f t="shared" si="5"/>
        <v>201712</v>
      </c>
      <c r="S281" s="405">
        <f>-Q281</f>
        <v>1710.48</v>
      </c>
    </row>
    <row r="282" spans="1:19">
      <c r="A282" s="821" t="s">
        <v>877</v>
      </c>
      <c r="B282" s="821" t="s">
        <v>878</v>
      </c>
      <c r="C282" s="821" t="s">
        <v>879</v>
      </c>
      <c r="D282" s="821" t="s">
        <v>880</v>
      </c>
      <c r="E282" s="821" t="s">
        <v>880</v>
      </c>
      <c r="F282" s="821" t="s">
        <v>881</v>
      </c>
      <c r="G282" s="821" t="s">
        <v>882</v>
      </c>
      <c r="H282" s="821" t="s">
        <v>1032</v>
      </c>
      <c r="I282" s="821" t="s">
        <v>1101</v>
      </c>
      <c r="J282" s="821" t="s">
        <v>885</v>
      </c>
      <c r="K282" s="821" t="s">
        <v>886</v>
      </c>
      <c r="L282" s="821" t="s">
        <v>1101</v>
      </c>
      <c r="M282" s="821" t="s">
        <v>887</v>
      </c>
      <c r="N282" s="821" t="s">
        <v>888</v>
      </c>
      <c r="O282" s="821" t="s">
        <v>886</v>
      </c>
      <c r="P282" s="819">
        <v>3548</v>
      </c>
      <c r="Q282" s="820">
        <v>-35.479999999999997</v>
      </c>
      <c r="R282" t="str">
        <f t="shared" si="5"/>
        <v>201712</v>
      </c>
      <c r="S282" s="405">
        <f>-Q282</f>
        <v>35.479999999999997</v>
      </c>
    </row>
    <row r="283" spans="1:19">
      <c r="A283" s="821" t="s">
        <v>877</v>
      </c>
      <c r="B283" s="821" t="s">
        <v>878</v>
      </c>
      <c r="C283" s="821" t="s">
        <v>879</v>
      </c>
      <c r="D283" s="821" t="s">
        <v>880</v>
      </c>
      <c r="E283" s="821" t="s">
        <v>880</v>
      </c>
      <c r="F283" s="821" t="s">
        <v>881</v>
      </c>
      <c r="G283" s="821" t="s">
        <v>882</v>
      </c>
      <c r="H283" s="821" t="s">
        <v>1032</v>
      </c>
      <c r="I283" s="821" t="s">
        <v>1102</v>
      </c>
      <c r="J283" s="821" t="s">
        <v>885</v>
      </c>
      <c r="K283" s="821" t="s">
        <v>886</v>
      </c>
      <c r="L283" s="821" t="s">
        <v>1102</v>
      </c>
      <c r="M283" s="821" t="s">
        <v>887</v>
      </c>
      <c r="N283" s="821" t="s">
        <v>888</v>
      </c>
      <c r="O283" s="821" t="s">
        <v>886</v>
      </c>
      <c r="P283" s="819">
        <v>420189</v>
      </c>
      <c r="Q283" s="820">
        <v>-4201.8900000000003</v>
      </c>
      <c r="R283" t="str">
        <f t="shared" si="5"/>
        <v>201712</v>
      </c>
      <c r="S283" s="405">
        <f>-Q283</f>
        <v>4201.8900000000003</v>
      </c>
    </row>
    <row r="284" spans="1:19">
      <c r="A284" s="821" t="s">
        <v>877</v>
      </c>
      <c r="B284" s="821" t="s">
        <v>878</v>
      </c>
      <c r="C284" s="821" t="s">
        <v>879</v>
      </c>
      <c r="D284" s="821" t="s">
        <v>880</v>
      </c>
      <c r="E284" s="821" t="s">
        <v>880</v>
      </c>
      <c r="F284" s="821" t="s">
        <v>881</v>
      </c>
      <c r="G284" s="821" t="s">
        <v>882</v>
      </c>
      <c r="H284" s="821" t="s">
        <v>1032</v>
      </c>
      <c r="I284" s="821" t="s">
        <v>1103</v>
      </c>
      <c r="J284" s="821" t="s">
        <v>885</v>
      </c>
      <c r="K284" s="821" t="s">
        <v>886</v>
      </c>
      <c r="L284" s="821" t="s">
        <v>1103</v>
      </c>
      <c r="M284" s="821" t="s">
        <v>887</v>
      </c>
      <c r="N284" s="821" t="s">
        <v>886</v>
      </c>
      <c r="O284" s="821" t="s">
        <v>886</v>
      </c>
      <c r="P284" s="819">
        <v>342452</v>
      </c>
      <c r="Q284" s="820">
        <v>3424.52</v>
      </c>
      <c r="R284" t="str">
        <f t="shared" si="5"/>
        <v>201712</v>
      </c>
      <c r="S284" s="405">
        <f>Q284</f>
        <v>3424.52</v>
      </c>
    </row>
    <row r="285" spans="1:19">
      <c r="A285" s="821" t="s">
        <v>877</v>
      </c>
      <c r="B285" s="821" t="s">
        <v>878</v>
      </c>
      <c r="C285" s="821" t="s">
        <v>879</v>
      </c>
      <c r="D285" s="821" t="s">
        <v>880</v>
      </c>
      <c r="E285" s="821" t="s">
        <v>880</v>
      </c>
      <c r="F285" s="821" t="s">
        <v>881</v>
      </c>
      <c r="G285" s="821" t="s">
        <v>882</v>
      </c>
      <c r="H285" s="821" t="s">
        <v>1032</v>
      </c>
      <c r="I285" s="821" t="s">
        <v>1103</v>
      </c>
      <c r="J285" s="821" t="s">
        <v>885</v>
      </c>
      <c r="K285" s="821" t="s">
        <v>886</v>
      </c>
      <c r="L285" s="821" t="s">
        <v>1103</v>
      </c>
      <c r="M285" s="821" t="s">
        <v>887</v>
      </c>
      <c r="N285" s="821" t="s">
        <v>886</v>
      </c>
      <c r="O285" s="821" t="s">
        <v>886</v>
      </c>
      <c r="P285" s="819">
        <v>41452</v>
      </c>
      <c r="Q285" s="820">
        <v>414.52</v>
      </c>
      <c r="R285" t="str">
        <f t="shared" si="5"/>
        <v>201712</v>
      </c>
      <c r="S285" s="405">
        <f>Q285</f>
        <v>414.52</v>
      </c>
    </row>
    <row r="286" spans="1:19">
      <c r="A286" s="821" t="s">
        <v>877</v>
      </c>
      <c r="B286" s="821" t="s">
        <v>878</v>
      </c>
      <c r="C286" s="821" t="s">
        <v>879</v>
      </c>
      <c r="D286" s="821" t="s">
        <v>880</v>
      </c>
      <c r="E286" s="821" t="s">
        <v>880</v>
      </c>
      <c r="F286" s="821" t="s">
        <v>881</v>
      </c>
      <c r="G286" s="821" t="s">
        <v>882</v>
      </c>
      <c r="H286" s="821" t="s">
        <v>883</v>
      </c>
      <c r="I286" s="821" t="s">
        <v>884</v>
      </c>
      <c r="J286" s="821" t="s">
        <v>885</v>
      </c>
      <c r="K286" s="821" t="s">
        <v>886</v>
      </c>
      <c r="L286" s="821" t="s">
        <v>884</v>
      </c>
      <c r="M286" s="821" t="s">
        <v>1104</v>
      </c>
      <c r="N286" s="821" t="s">
        <v>888</v>
      </c>
      <c r="O286" s="821" t="s">
        <v>886</v>
      </c>
      <c r="P286" s="533">
        <v>20764</v>
      </c>
      <c r="Q286" s="820"/>
      <c r="R286" t="str">
        <f t="shared" si="5"/>
        <v>201701</v>
      </c>
      <c r="S286" s="405">
        <f>-Q286</f>
        <v>0</v>
      </c>
    </row>
    <row r="287" spans="1:19">
      <c r="A287" s="821" t="s">
        <v>877</v>
      </c>
      <c r="B287" s="821" t="s">
        <v>878</v>
      </c>
      <c r="C287" s="821" t="s">
        <v>879</v>
      </c>
      <c r="D287" s="821" t="s">
        <v>880</v>
      </c>
      <c r="E287" s="821" t="s">
        <v>880</v>
      </c>
      <c r="F287" s="821" t="s">
        <v>881</v>
      </c>
      <c r="G287" s="821" t="s">
        <v>882</v>
      </c>
      <c r="H287" s="821" t="s">
        <v>883</v>
      </c>
      <c r="I287" s="821" t="s">
        <v>889</v>
      </c>
      <c r="J287" s="821" t="s">
        <v>885</v>
      </c>
      <c r="K287" s="821" t="s">
        <v>886</v>
      </c>
      <c r="L287" s="821" t="s">
        <v>889</v>
      </c>
      <c r="M287" s="821" t="s">
        <v>1104</v>
      </c>
      <c r="N287" s="821" t="s">
        <v>888</v>
      </c>
      <c r="O287" s="821" t="s">
        <v>886</v>
      </c>
      <c r="P287" s="533">
        <v>2646</v>
      </c>
      <c r="Q287" s="820">
        <v>-26.46</v>
      </c>
      <c r="R287" t="str">
        <f t="shared" si="5"/>
        <v>201701</v>
      </c>
      <c r="S287" s="405">
        <f>-Q287</f>
        <v>26.46</v>
      </c>
    </row>
    <row r="288" spans="1:19">
      <c r="A288" s="821" t="s">
        <v>877</v>
      </c>
      <c r="B288" s="821" t="s">
        <v>878</v>
      </c>
      <c r="C288" s="821" t="s">
        <v>879</v>
      </c>
      <c r="D288" s="821" t="s">
        <v>880</v>
      </c>
      <c r="E288" s="821" t="s">
        <v>880</v>
      </c>
      <c r="F288" s="821" t="s">
        <v>881</v>
      </c>
      <c r="G288" s="821" t="s">
        <v>882</v>
      </c>
      <c r="H288" s="821" t="s">
        <v>883</v>
      </c>
      <c r="I288" s="821" t="s">
        <v>892</v>
      </c>
      <c r="J288" s="821" t="s">
        <v>885</v>
      </c>
      <c r="K288" s="821" t="s">
        <v>886</v>
      </c>
      <c r="L288" s="821" t="s">
        <v>892</v>
      </c>
      <c r="M288" s="821" t="s">
        <v>1104</v>
      </c>
      <c r="N288" s="821" t="s">
        <v>886</v>
      </c>
      <c r="O288" s="821" t="s">
        <v>886</v>
      </c>
      <c r="P288" s="533">
        <v>20000000</v>
      </c>
      <c r="Q288" s="794">
        <v>200000</v>
      </c>
      <c r="R288" t="str">
        <f t="shared" si="5"/>
        <v>201701</v>
      </c>
      <c r="S288" s="405">
        <f>Q288</f>
        <v>200000</v>
      </c>
    </row>
    <row r="289" spans="1:19">
      <c r="A289" s="821" t="s">
        <v>877</v>
      </c>
      <c r="B289" s="821" t="s">
        <v>878</v>
      </c>
      <c r="C289" s="821" t="s">
        <v>879</v>
      </c>
      <c r="D289" s="821" t="s">
        <v>880</v>
      </c>
      <c r="E289" s="821" t="s">
        <v>880</v>
      </c>
      <c r="F289" s="821" t="s">
        <v>881</v>
      </c>
      <c r="G289" s="821" t="s">
        <v>882</v>
      </c>
      <c r="H289" s="821" t="s">
        <v>883</v>
      </c>
      <c r="I289" s="821" t="s">
        <v>892</v>
      </c>
      <c r="J289" s="821" t="s">
        <v>885</v>
      </c>
      <c r="K289" s="821" t="s">
        <v>886</v>
      </c>
      <c r="L289" s="821" t="s">
        <v>892</v>
      </c>
      <c r="M289" s="821" t="s">
        <v>1104</v>
      </c>
      <c r="N289" s="821" t="s">
        <v>888</v>
      </c>
      <c r="O289" s="821" t="s">
        <v>886</v>
      </c>
      <c r="P289" s="533">
        <v>39440</v>
      </c>
      <c r="Q289" s="820">
        <v>-394.4</v>
      </c>
      <c r="R289" t="str">
        <f t="shared" si="5"/>
        <v>201701</v>
      </c>
      <c r="S289" s="405">
        <f>-Q289</f>
        <v>394.4</v>
      </c>
    </row>
    <row r="290" spans="1:19">
      <c r="A290" s="821" t="s">
        <v>877</v>
      </c>
      <c r="B290" s="821" t="s">
        <v>878</v>
      </c>
      <c r="C290" s="821" t="s">
        <v>879</v>
      </c>
      <c r="D290" s="821" t="s">
        <v>880</v>
      </c>
      <c r="E290" s="821" t="s">
        <v>880</v>
      </c>
      <c r="F290" s="821" t="s">
        <v>881</v>
      </c>
      <c r="G290" s="821" t="s">
        <v>882</v>
      </c>
      <c r="H290" s="821" t="s">
        <v>883</v>
      </c>
      <c r="I290" s="821" t="s">
        <v>893</v>
      </c>
      <c r="J290" s="821" t="s">
        <v>885</v>
      </c>
      <c r="K290" s="821" t="s">
        <v>886</v>
      </c>
      <c r="L290" s="821" t="s">
        <v>893</v>
      </c>
      <c r="M290" s="821" t="s">
        <v>1104</v>
      </c>
      <c r="N290" s="821" t="s">
        <v>886</v>
      </c>
      <c r="O290" s="821" t="s">
        <v>886</v>
      </c>
      <c r="P290" s="533">
        <v>95780</v>
      </c>
      <c r="Q290" s="820">
        <v>957.8</v>
      </c>
      <c r="R290" t="str">
        <f t="shared" si="5"/>
        <v>201701</v>
      </c>
      <c r="S290" s="405">
        <f>Q290</f>
        <v>957.8</v>
      </c>
    </row>
    <row r="291" spans="1:19">
      <c r="A291" s="821" t="s">
        <v>877</v>
      </c>
      <c r="B291" s="821" t="s">
        <v>878</v>
      </c>
      <c r="C291" s="821" t="s">
        <v>879</v>
      </c>
      <c r="D291" s="821" t="s">
        <v>880</v>
      </c>
      <c r="E291" s="821" t="s">
        <v>880</v>
      </c>
      <c r="F291" s="821" t="s">
        <v>881</v>
      </c>
      <c r="G291" s="821" t="s">
        <v>882</v>
      </c>
      <c r="H291" s="821" t="s">
        <v>883</v>
      </c>
      <c r="I291" s="821" t="s">
        <v>894</v>
      </c>
      <c r="J291" s="821" t="s">
        <v>885</v>
      </c>
      <c r="K291" s="821" t="s">
        <v>886</v>
      </c>
      <c r="L291" s="821" t="s">
        <v>894</v>
      </c>
      <c r="M291" s="821" t="s">
        <v>1104</v>
      </c>
      <c r="N291" s="821" t="s">
        <v>888</v>
      </c>
      <c r="O291" s="821" t="s">
        <v>886</v>
      </c>
      <c r="P291" s="533">
        <v>31035</v>
      </c>
      <c r="Q291" s="820">
        <v>-310.35000000000002</v>
      </c>
      <c r="R291" t="str">
        <f t="shared" si="5"/>
        <v>201701</v>
      </c>
      <c r="S291" s="405">
        <f>-Q291</f>
        <v>310.35000000000002</v>
      </c>
    </row>
    <row r="292" spans="1:19">
      <c r="A292" s="821" t="s">
        <v>877</v>
      </c>
      <c r="B292" s="821" t="s">
        <v>878</v>
      </c>
      <c r="C292" s="821" t="s">
        <v>879</v>
      </c>
      <c r="D292" s="821" t="s">
        <v>880</v>
      </c>
      <c r="E292" s="821" t="s">
        <v>880</v>
      </c>
      <c r="F292" s="821" t="s">
        <v>881</v>
      </c>
      <c r="G292" s="821" t="s">
        <v>882</v>
      </c>
      <c r="H292" s="821" t="s">
        <v>883</v>
      </c>
      <c r="I292" s="821" t="s">
        <v>896</v>
      </c>
      <c r="J292" s="821" t="s">
        <v>885</v>
      </c>
      <c r="K292" s="821" t="s">
        <v>886</v>
      </c>
      <c r="L292" s="821" t="s">
        <v>896</v>
      </c>
      <c r="M292" s="821" t="s">
        <v>1104</v>
      </c>
      <c r="N292" s="821" t="s">
        <v>888</v>
      </c>
      <c r="O292" s="821" t="s">
        <v>886</v>
      </c>
      <c r="P292" s="533">
        <v>166680</v>
      </c>
      <c r="Q292" s="820">
        <v>-1666.8</v>
      </c>
      <c r="R292" t="str">
        <f t="shared" si="5"/>
        <v>201701</v>
      </c>
      <c r="S292" s="405">
        <f>-Q292</f>
        <v>1666.8</v>
      </c>
    </row>
    <row r="293" spans="1:19">
      <c r="A293" s="821" t="s">
        <v>877</v>
      </c>
      <c r="B293" s="821" t="s">
        <v>878</v>
      </c>
      <c r="C293" s="821" t="s">
        <v>879</v>
      </c>
      <c r="D293" s="821" t="s">
        <v>880</v>
      </c>
      <c r="E293" s="821" t="s">
        <v>880</v>
      </c>
      <c r="F293" s="821" t="s">
        <v>881</v>
      </c>
      <c r="G293" s="821" t="s">
        <v>882</v>
      </c>
      <c r="H293" s="821" t="s">
        <v>883</v>
      </c>
      <c r="I293" s="821" t="s">
        <v>896</v>
      </c>
      <c r="J293" s="821" t="s">
        <v>885</v>
      </c>
      <c r="K293" s="821" t="s">
        <v>886</v>
      </c>
      <c r="L293" s="821" t="s">
        <v>896</v>
      </c>
      <c r="M293" s="821" t="s">
        <v>1104</v>
      </c>
      <c r="N293" s="821" t="s">
        <v>886</v>
      </c>
      <c r="O293" s="821" t="s">
        <v>886</v>
      </c>
      <c r="P293" s="533">
        <v>15000000</v>
      </c>
      <c r="Q293" s="794">
        <v>150000</v>
      </c>
      <c r="R293" t="str">
        <f t="shared" si="5"/>
        <v>201701</v>
      </c>
      <c r="S293" s="405">
        <f>Q293</f>
        <v>150000</v>
      </c>
    </row>
    <row r="294" spans="1:19">
      <c r="A294" s="821" t="s">
        <v>877</v>
      </c>
      <c r="B294" s="821" t="s">
        <v>878</v>
      </c>
      <c r="C294" s="821" t="s">
        <v>879</v>
      </c>
      <c r="D294" s="821" t="s">
        <v>880</v>
      </c>
      <c r="E294" s="821" t="s">
        <v>880</v>
      </c>
      <c r="F294" s="821" t="s">
        <v>881</v>
      </c>
      <c r="G294" s="821" t="s">
        <v>882</v>
      </c>
      <c r="H294" s="821" t="s">
        <v>883</v>
      </c>
      <c r="I294" s="821" t="s">
        <v>897</v>
      </c>
      <c r="J294" s="821" t="s">
        <v>885</v>
      </c>
      <c r="K294" s="821" t="s">
        <v>886</v>
      </c>
      <c r="L294" s="821" t="s">
        <v>897</v>
      </c>
      <c r="M294" s="821" t="s">
        <v>1104</v>
      </c>
      <c r="N294" s="821" t="s">
        <v>886</v>
      </c>
      <c r="O294" s="821" t="s">
        <v>886</v>
      </c>
      <c r="P294" s="533">
        <v>803731</v>
      </c>
      <c r="Q294" s="820">
        <v>8037.31</v>
      </c>
      <c r="R294" t="str">
        <f t="shared" si="5"/>
        <v>201701</v>
      </c>
      <c r="S294" s="405">
        <f>Q294</f>
        <v>8037.31</v>
      </c>
    </row>
    <row r="295" spans="1:19">
      <c r="A295" s="821" t="s">
        <v>877</v>
      </c>
      <c r="B295" s="821" t="s">
        <v>878</v>
      </c>
      <c r="C295" s="821" t="s">
        <v>879</v>
      </c>
      <c r="D295" s="821" t="s">
        <v>880</v>
      </c>
      <c r="E295" s="821" t="s">
        <v>880</v>
      </c>
      <c r="F295" s="821" t="s">
        <v>881</v>
      </c>
      <c r="G295" s="821" t="s">
        <v>882</v>
      </c>
      <c r="H295" s="821" t="s">
        <v>883</v>
      </c>
      <c r="I295" s="821" t="s">
        <v>898</v>
      </c>
      <c r="J295" s="821" t="s">
        <v>885</v>
      </c>
      <c r="K295" s="821" t="s">
        <v>886</v>
      </c>
      <c r="L295" s="821" t="s">
        <v>898</v>
      </c>
      <c r="M295" s="821" t="s">
        <v>1104</v>
      </c>
      <c r="N295" s="821" t="s">
        <v>888</v>
      </c>
      <c r="O295" s="821" t="s">
        <v>886</v>
      </c>
      <c r="P295" s="533">
        <v>204190</v>
      </c>
      <c r="Q295" s="820">
        <v>-2041.9</v>
      </c>
      <c r="R295" t="str">
        <f t="shared" si="5"/>
        <v>201701</v>
      </c>
      <c r="S295" s="405">
        <f>-Q295</f>
        <v>2041.9</v>
      </c>
    </row>
    <row r="296" spans="1:19">
      <c r="A296" s="821" t="s">
        <v>877</v>
      </c>
      <c r="B296" s="821" t="s">
        <v>878</v>
      </c>
      <c r="C296" s="821" t="s">
        <v>879</v>
      </c>
      <c r="D296" s="821" t="s">
        <v>880</v>
      </c>
      <c r="E296" s="821" t="s">
        <v>880</v>
      </c>
      <c r="F296" s="821" t="s">
        <v>881</v>
      </c>
      <c r="G296" s="821" t="s">
        <v>882</v>
      </c>
      <c r="H296" s="821" t="s">
        <v>883</v>
      </c>
      <c r="I296" s="821" t="s">
        <v>899</v>
      </c>
      <c r="J296" s="821" t="s">
        <v>885</v>
      </c>
      <c r="K296" s="821" t="s">
        <v>886</v>
      </c>
      <c r="L296" s="821" t="s">
        <v>899</v>
      </c>
      <c r="M296" s="821" t="s">
        <v>1104</v>
      </c>
      <c r="N296" s="821" t="s">
        <v>888</v>
      </c>
      <c r="O296" s="821" t="s">
        <v>886</v>
      </c>
      <c r="P296" s="533">
        <v>407328</v>
      </c>
      <c r="Q296" s="820">
        <v>-4073.28</v>
      </c>
      <c r="R296" t="str">
        <f t="shared" si="5"/>
        <v>201701</v>
      </c>
      <c r="S296" s="405">
        <f>-Q296</f>
        <v>4073.28</v>
      </c>
    </row>
    <row r="297" spans="1:19">
      <c r="A297" s="821" t="s">
        <v>877</v>
      </c>
      <c r="B297" s="821" t="s">
        <v>878</v>
      </c>
      <c r="C297" s="821" t="s">
        <v>879</v>
      </c>
      <c r="D297" s="821" t="s">
        <v>880</v>
      </c>
      <c r="E297" s="821" t="s">
        <v>880</v>
      </c>
      <c r="F297" s="821" t="s">
        <v>881</v>
      </c>
      <c r="G297" s="821" t="s">
        <v>882</v>
      </c>
      <c r="H297" s="821" t="s">
        <v>883</v>
      </c>
      <c r="I297" s="821" t="s">
        <v>900</v>
      </c>
      <c r="J297" s="821" t="s">
        <v>885</v>
      </c>
      <c r="K297" s="821" t="s">
        <v>886</v>
      </c>
      <c r="L297" s="821" t="s">
        <v>900</v>
      </c>
      <c r="M297" s="821" t="s">
        <v>1104</v>
      </c>
      <c r="N297" s="821" t="s">
        <v>886</v>
      </c>
      <c r="O297" s="821" t="s">
        <v>886</v>
      </c>
      <c r="P297" s="533">
        <v>300000000</v>
      </c>
      <c r="Q297" s="794">
        <v>3000000</v>
      </c>
      <c r="R297" t="str">
        <f t="shared" si="5"/>
        <v>201701</v>
      </c>
      <c r="S297" s="405">
        <f>Q297</f>
        <v>3000000</v>
      </c>
    </row>
    <row r="298" spans="1:19">
      <c r="A298" s="821" t="s">
        <v>877</v>
      </c>
      <c r="B298" s="821" t="s">
        <v>878</v>
      </c>
      <c r="C298" s="821" t="s">
        <v>879</v>
      </c>
      <c r="D298" s="821" t="s">
        <v>880</v>
      </c>
      <c r="E298" s="821" t="s">
        <v>880</v>
      </c>
      <c r="F298" s="821" t="s">
        <v>881</v>
      </c>
      <c r="G298" s="821" t="s">
        <v>882</v>
      </c>
      <c r="H298" s="821" t="s">
        <v>883</v>
      </c>
      <c r="I298" s="821" t="s">
        <v>900</v>
      </c>
      <c r="J298" s="821" t="s">
        <v>885</v>
      </c>
      <c r="K298" s="821" t="s">
        <v>886</v>
      </c>
      <c r="L298" s="821" t="s">
        <v>900</v>
      </c>
      <c r="M298" s="821" t="s">
        <v>1104</v>
      </c>
      <c r="N298" s="821" t="s">
        <v>888</v>
      </c>
      <c r="O298" s="821" t="s">
        <v>886</v>
      </c>
      <c r="P298" s="533">
        <v>4438</v>
      </c>
      <c r="Q298" s="820">
        <v>-44.38</v>
      </c>
      <c r="R298" t="str">
        <f t="shared" si="5"/>
        <v>201701</v>
      </c>
      <c r="S298" s="405">
        <f>-Q298</f>
        <v>44.38</v>
      </c>
    </row>
    <row r="299" spans="1:19">
      <c r="A299" s="821" t="s">
        <v>877</v>
      </c>
      <c r="B299" s="821" t="s">
        <v>878</v>
      </c>
      <c r="C299" s="821" t="s">
        <v>879</v>
      </c>
      <c r="D299" s="821" t="s">
        <v>880</v>
      </c>
      <c r="E299" s="821" t="s">
        <v>880</v>
      </c>
      <c r="F299" s="821" t="s">
        <v>881</v>
      </c>
      <c r="G299" s="821" t="s">
        <v>882</v>
      </c>
      <c r="H299" s="821" t="s">
        <v>883</v>
      </c>
      <c r="I299" s="821" t="s">
        <v>901</v>
      </c>
      <c r="J299" s="821" t="s">
        <v>885</v>
      </c>
      <c r="K299" s="821" t="s">
        <v>886</v>
      </c>
      <c r="L299" s="821" t="s">
        <v>901</v>
      </c>
      <c r="M299" s="821" t="s">
        <v>1104</v>
      </c>
      <c r="N299" s="821" t="s">
        <v>886</v>
      </c>
      <c r="O299" s="821" t="s">
        <v>886</v>
      </c>
      <c r="P299" s="533">
        <v>1100447</v>
      </c>
      <c r="Q299" s="820">
        <v>11004.47</v>
      </c>
      <c r="R299" t="str">
        <f t="shared" si="5"/>
        <v>201701</v>
      </c>
      <c r="S299" s="405">
        <f>Q299</f>
        <v>11004.47</v>
      </c>
    </row>
    <row r="300" spans="1:19">
      <c r="A300" s="821" t="s">
        <v>877</v>
      </c>
      <c r="B300" s="821" t="s">
        <v>878</v>
      </c>
      <c r="C300" s="821" t="s">
        <v>879</v>
      </c>
      <c r="D300" s="821" t="s">
        <v>880</v>
      </c>
      <c r="E300" s="821" t="s">
        <v>880</v>
      </c>
      <c r="F300" s="821" t="s">
        <v>881</v>
      </c>
      <c r="G300" s="821" t="s">
        <v>882</v>
      </c>
      <c r="H300" s="821" t="s">
        <v>883</v>
      </c>
      <c r="I300" s="821" t="s">
        <v>902</v>
      </c>
      <c r="J300" s="821" t="s">
        <v>885</v>
      </c>
      <c r="K300" s="821" t="s">
        <v>886</v>
      </c>
      <c r="L300" s="821" t="s">
        <v>902</v>
      </c>
      <c r="M300" s="821" t="s">
        <v>1104</v>
      </c>
      <c r="N300" s="821" t="s">
        <v>888</v>
      </c>
      <c r="O300" s="821" t="s">
        <v>886</v>
      </c>
      <c r="P300" s="533">
        <v>678763</v>
      </c>
      <c r="Q300" s="820">
        <v>-6787.63</v>
      </c>
      <c r="R300" t="str">
        <f t="shared" si="5"/>
        <v>201701</v>
      </c>
      <c r="S300" s="405">
        <f>-Q300</f>
        <v>6787.63</v>
      </c>
    </row>
    <row r="301" spans="1:19">
      <c r="A301" s="821" t="s">
        <v>877</v>
      </c>
      <c r="B301" s="821" t="s">
        <v>878</v>
      </c>
      <c r="C301" s="821" t="s">
        <v>879</v>
      </c>
      <c r="D301" s="821" t="s">
        <v>880</v>
      </c>
      <c r="E301" s="821" t="s">
        <v>880</v>
      </c>
      <c r="F301" s="821" t="s">
        <v>881</v>
      </c>
      <c r="G301" s="821" t="s">
        <v>882</v>
      </c>
      <c r="H301" s="821" t="s">
        <v>883</v>
      </c>
      <c r="I301" s="821" t="s">
        <v>903</v>
      </c>
      <c r="J301" s="821" t="s">
        <v>885</v>
      </c>
      <c r="K301" s="821" t="s">
        <v>886</v>
      </c>
      <c r="L301" s="821" t="s">
        <v>903</v>
      </c>
      <c r="M301" s="821" t="s">
        <v>1104</v>
      </c>
      <c r="N301" s="821" t="s">
        <v>888</v>
      </c>
      <c r="O301" s="821" t="s">
        <v>886</v>
      </c>
      <c r="P301" s="533">
        <v>721267</v>
      </c>
      <c r="Q301" s="820">
        <v>-7212.67</v>
      </c>
      <c r="R301" t="str">
        <f t="shared" si="5"/>
        <v>201701</v>
      </c>
      <c r="S301" s="405">
        <f>-Q301</f>
        <v>7212.67</v>
      </c>
    </row>
    <row r="302" spans="1:19">
      <c r="A302" s="821" t="s">
        <v>877</v>
      </c>
      <c r="B302" s="821" t="s">
        <v>878</v>
      </c>
      <c r="C302" s="821" t="s">
        <v>879</v>
      </c>
      <c r="D302" s="821" t="s">
        <v>880</v>
      </c>
      <c r="E302" s="821" t="s">
        <v>880</v>
      </c>
      <c r="F302" s="821" t="s">
        <v>881</v>
      </c>
      <c r="G302" s="821" t="s">
        <v>882</v>
      </c>
      <c r="H302" s="821" t="s">
        <v>883</v>
      </c>
      <c r="I302" s="821" t="s">
        <v>903</v>
      </c>
      <c r="J302" s="821" t="s">
        <v>885</v>
      </c>
      <c r="K302" s="821" t="s">
        <v>886</v>
      </c>
      <c r="L302" s="821" t="s">
        <v>903</v>
      </c>
      <c r="M302" s="821" t="s">
        <v>1104</v>
      </c>
      <c r="N302" s="821" t="s">
        <v>886</v>
      </c>
      <c r="O302" s="821" t="s">
        <v>886</v>
      </c>
      <c r="P302" s="533">
        <v>60000000</v>
      </c>
      <c r="Q302" s="794">
        <v>600000</v>
      </c>
      <c r="R302" t="str">
        <f t="shared" si="5"/>
        <v>201701</v>
      </c>
      <c r="S302" s="405">
        <f>Q302</f>
        <v>600000</v>
      </c>
    </row>
    <row r="303" spans="1:19">
      <c r="A303" s="821" t="s">
        <v>877</v>
      </c>
      <c r="B303" s="821" t="s">
        <v>878</v>
      </c>
      <c r="C303" s="821" t="s">
        <v>879</v>
      </c>
      <c r="D303" s="821" t="s">
        <v>880</v>
      </c>
      <c r="E303" s="821" t="s">
        <v>880</v>
      </c>
      <c r="F303" s="821" t="s">
        <v>881</v>
      </c>
      <c r="G303" s="821" t="s">
        <v>882</v>
      </c>
      <c r="H303" s="821" t="s">
        <v>883</v>
      </c>
      <c r="I303" s="821" t="s">
        <v>903</v>
      </c>
      <c r="J303" s="821" t="s">
        <v>885</v>
      </c>
      <c r="K303" s="821" t="s">
        <v>886</v>
      </c>
      <c r="L303" s="821" t="s">
        <v>903</v>
      </c>
      <c r="M303" s="821" t="s">
        <v>1104</v>
      </c>
      <c r="N303" s="821" t="s">
        <v>886</v>
      </c>
      <c r="O303" s="821" t="s">
        <v>886</v>
      </c>
      <c r="P303" s="533">
        <v>150000000</v>
      </c>
      <c r="Q303" s="794">
        <v>1500000</v>
      </c>
      <c r="R303" t="str">
        <f t="shared" si="5"/>
        <v>201701</v>
      </c>
      <c r="S303" s="405">
        <f>Q303</f>
        <v>1500000</v>
      </c>
    </row>
    <row r="304" spans="1:19">
      <c r="A304" s="821" t="s">
        <v>877</v>
      </c>
      <c r="B304" s="821" t="s">
        <v>878</v>
      </c>
      <c r="C304" s="821" t="s">
        <v>879</v>
      </c>
      <c r="D304" s="821" t="s">
        <v>880</v>
      </c>
      <c r="E304" s="821" t="s">
        <v>880</v>
      </c>
      <c r="F304" s="821" t="s">
        <v>881</v>
      </c>
      <c r="G304" s="821" t="s">
        <v>882</v>
      </c>
      <c r="H304" s="821" t="s">
        <v>883</v>
      </c>
      <c r="I304" s="821" t="s">
        <v>903</v>
      </c>
      <c r="J304" s="821" t="s">
        <v>885</v>
      </c>
      <c r="K304" s="821" t="s">
        <v>886</v>
      </c>
      <c r="L304" s="821" t="s">
        <v>903</v>
      </c>
      <c r="M304" s="821" t="s">
        <v>1104</v>
      </c>
      <c r="N304" s="821" t="s">
        <v>888</v>
      </c>
      <c r="O304" s="821" t="s">
        <v>886</v>
      </c>
      <c r="P304" s="533">
        <v>140000000</v>
      </c>
      <c r="Q304" s="794">
        <v>-1400000</v>
      </c>
      <c r="R304" t="str">
        <f t="shared" si="5"/>
        <v>201701</v>
      </c>
      <c r="S304" s="405">
        <f>-Q304</f>
        <v>1400000</v>
      </c>
    </row>
    <row r="305" spans="1:19">
      <c r="A305" s="821" t="s">
        <v>877</v>
      </c>
      <c r="B305" s="821" t="s">
        <v>878</v>
      </c>
      <c r="C305" s="821" t="s">
        <v>879</v>
      </c>
      <c r="D305" s="821" t="s">
        <v>880</v>
      </c>
      <c r="E305" s="821" t="s">
        <v>880</v>
      </c>
      <c r="F305" s="821" t="s">
        <v>881</v>
      </c>
      <c r="G305" s="821" t="s">
        <v>882</v>
      </c>
      <c r="H305" s="821" t="s">
        <v>883</v>
      </c>
      <c r="I305" s="821" t="s">
        <v>904</v>
      </c>
      <c r="J305" s="821" t="s">
        <v>885</v>
      </c>
      <c r="K305" s="821" t="s">
        <v>886</v>
      </c>
      <c r="L305" s="821" t="s">
        <v>904</v>
      </c>
      <c r="M305" s="821" t="s">
        <v>1104</v>
      </c>
      <c r="N305" s="821" t="s">
        <v>888</v>
      </c>
      <c r="O305" s="821" t="s">
        <v>886</v>
      </c>
      <c r="P305" s="533">
        <v>667730</v>
      </c>
      <c r="Q305" s="820">
        <v>-6677.3</v>
      </c>
      <c r="R305" t="str">
        <f t="shared" si="5"/>
        <v>201701</v>
      </c>
      <c r="S305" s="405">
        <f>-Q305</f>
        <v>6677.3</v>
      </c>
    </row>
    <row r="306" spans="1:19">
      <c r="A306" s="821" t="s">
        <v>877</v>
      </c>
      <c r="B306" s="821" t="s">
        <v>878</v>
      </c>
      <c r="C306" s="821" t="s">
        <v>879</v>
      </c>
      <c r="D306" s="821" t="s">
        <v>880</v>
      </c>
      <c r="E306" s="821" t="s">
        <v>880</v>
      </c>
      <c r="F306" s="821" t="s">
        <v>881</v>
      </c>
      <c r="G306" s="821" t="s">
        <v>882</v>
      </c>
      <c r="H306" s="821" t="s">
        <v>883</v>
      </c>
      <c r="I306" s="821" t="s">
        <v>905</v>
      </c>
      <c r="J306" s="821" t="s">
        <v>885</v>
      </c>
      <c r="K306" s="821" t="s">
        <v>886</v>
      </c>
      <c r="L306" s="821" t="s">
        <v>905</v>
      </c>
      <c r="M306" s="821" t="s">
        <v>1104</v>
      </c>
      <c r="N306" s="821" t="s">
        <v>886</v>
      </c>
      <c r="O306" s="821" t="s">
        <v>886</v>
      </c>
      <c r="P306" s="533">
        <v>551007</v>
      </c>
      <c r="Q306" s="820">
        <v>5510.07</v>
      </c>
      <c r="R306" t="str">
        <f t="shared" si="5"/>
        <v>201701</v>
      </c>
      <c r="S306" s="405">
        <f>Q306</f>
        <v>5510.07</v>
      </c>
    </row>
    <row r="307" spans="1:19">
      <c r="A307" s="821" t="s">
        <v>877</v>
      </c>
      <c r="B307" s="821" t="s">
        <v>878</v>
      </c>
      <c r="C307" s="821" t="s">
        <v>879</v>
      </c>
      <c r="D307" s="821" t="s">
        <v>880</v>
      </c>
      <c r="E307" s="821" t="s">
        <v>880</v>
      </c>
      <c r="F307" s="821" t="s">
        <v>881</v>
      </c>
      <c r="G307" s="821" t="s">
        <v>882</v>
      </c>
      <c r="H307" s="821" t="s">
        <v>883</v>
      </c>
      <c r="I307" s="821" t="s">
        <v>906</v>
      </c>
      <c r="J307" s="821" t="s">
        <v>885</v>
      </c>
      <c r="K307" s="821" t="s">
        <v>886</v>
      </c>
      <c r="L307" s="821" t="s">
        <v>906</v>
      </c>
      <c r="M307" s="821" t="s">
        <v>1104</v>
      </c>
      <c r="N307" s="821" t="s">
        <v>888</v>
      </c>
      <c r="O307" s="821" t="s">
        <v>886</v>
      </c>
      <c r="P307" s="533">
        <v>704491</v>
      </c>
      <c r="Q307" s="820">
        <v>-7044.91</v>
      </c>
      <c r="R307" t="str">
        <f t="shared" si="5"/>
        <v>201701</v>
      </c>
      <c r="S307" s="405">
        <f>-Q307</f>
        <v>7044.91</v>
      </c>
    </row>
    <row r="308" spans="1:19">
      <c r="A308" s="821" t="s">
        <v>877</v>
      </c>
      <c r="B308" s="821" t="s">
        <v>878</v>
      </c>
      <c r="C308" s="821" t="s">
        <v>879</v>
      </c>
      <c r="D308" s="821" t="s">
        <v>880</v>
      </c>
      <c r="E308" s="821" t="s">
        <v>880</v>
      </c>
      <c r="F308" s="821" t="s">
        <v>881</v>
      </c>
      <c r="G308" s="821" t="s">
        <v>882</v>
      </c>
      <c r="H308" s="821" t="s">
        <v>883</v>
      </c>
      <c r="I308" s="821" t="s">
        <v>907</v>
      </c>
      <c r="J308" s="821" t="s">
        <v>885</v>
      </c>
      <c r="K308" s="821" t="s">
        <v>886</v>
      </c>
      <c r="L308" s="821" t="s">
        <v>907</v>
      </c>
      <c r="M308" s="821" t="s">
        <v>1104</v>
      </c>
      <c r="N308" s="821" t="s">
        <v>886</v>
      </c>
      <c r="O308" s="821" t="s">
        <v>886</v>
      </c>
      <c r="P308" s="533">
        <v>448029</v>
      </c>
      <c r="Q308" s="820">
        <v>4480.29</v>
      </c>
      <c r="R308" t="str">
        <f t="shared" si="5"/>
        <v>201701</v>
      </c>
      <c r="S308" s="405">
        <f>Q308</f>
        <v>4480.29</v>
      </c>
    </row>
    <row r="309" spans="1:19">
      <c r="A309" s="821" t="s">
        <v>877</v>
      </c>
      <c r="B309" s="821" t="s">
        <v>878</v>
      </c>
      <c r="C309" s="821" t="s">
        <v>879</v>
      </c>
      <c r="D309" s="821" t="s">
        <v>880</v>
      </c>
      <c r="E309" s="821" t="s">
        <v>880</v>
      </c>
      <c r="F309" s="821" t="s">
        <v>881</v>
      </c>
      <c r="G309" s="821" t="s">
        <v>882</v>
      </c>
      <c r="H309" s="821" t="s">
        <v>883</v>
      </c>
      <c r="I309" s="821" t="s">
        <v>908</v>
      </c>
      <c r="J309" s="821" t="s">
        <v>885</v>
      </c>
      <c r="K309" s="821" t="s">
        <v>886</v>
      </c>
      <c r="L309" s="821" t="s">
        <v>908</v>
      </c>
      <c r="M309" s="821" t="s">
        <v>1104</v>
      </c>
      <c r="N309" s="821" t="s">
        <v>886</v>
      </c>
      <c r="O309" s="821" t="s">
        <v>886</v>
      </c>
      <c r="P309" s="533">
        <v>548671</v>
      </c>
      <c r="Q309" s="820">
        <v>5486.71</v>
      </c>
      <c r="R309" t="str">
        <f t="shared" si="5"/>
        <v>201701</v>
      </c>
      <c r="S309" s="405">
        <f>Q309</f>
        <v>5486.71</v>
      </c>
    </row>
    <row r="310" spans="1:19">
      <c r="A310" s="821" t="s">
        <v>877</v>
      </c>
      <c r="B310" s="821" t="s">
        <v>878</v>
      </c>
      <c r="C310" s="821" t="s">
        <v>879</v>
      </c>
      <c r="D310" s="821" t="s">
        <v>880</v>
      </c>
      <c r="E310" s="821" t="s">
        <v>880</v>
      </c>
      <c r="F310" s="821" t="s">
        <v>881</v>
      </c>
      <c r="G310" s="821" t="s">
        <v>882</v>
      </c>
      <c r="H310" s="821" t="s">
        <v>883</v>
      </c>
      <c r="I310" s="821" t="s">
        <v>908</v>
      </c>
      <c r="J310" s="821" t="s">
        <v>885</v>
      </c>
      <c r="K310" s="821" t="s">
        <v>886</v>
      </c>
      <c r="L310" s="821" t="s">
        <v>908</v>
      </c>
      <c r="M310" s="821" t="s">
        <v>1104</v>
      </c>
      <c r="N310" s="821" t="s">
        <v>886</v>
      </c>
      <c r="O310" s="821" t="s">
        <v>886</v>
      </c>
      <c r="P310" s="533">
        <v>44531</v>
      </c>
      <c r="Q310" s="820">
        <v>445.31</v>
      </c>
      <c r="R310" t="str">
        <f t="shared" si="5"/>
        <v>201701</v>
      </c>
      <c r="S310" s="405">
        <f>Q310</f>
        <v>445.31</v>
      </c>
    </row>
    <row r="311" spans="1:19">
      <c r="A311" s="821" t="s">
        <v>877</v>
      </c>
      <c r="B311" s="821" t="s">
        <v>878</v>
      </c>
      <c r="C311" s="821" t="s">
        <v>879</v>
      </c>
      <c r="D311" s="821" t="s">
        <v>880</v>
      </c>
      <c r="E311" s="821" t="s">
        <v>880</v>
      </c>
      <c r="F311" s="821" t="s">
        <v>881</v>
      </c>
      <c r="G311" s="821" t="s">
        <v>882</v>
      </c>
      <c r="H311" s="821" t="s">
        <v>883</v>
      </c>
      <c r="I311" s="821" t="s">
        <v>908</v>
      </c>
      <c r="J311" s="821" t="s">
        <v>885</v>
      </c>
      <c r="K311" s="821" t="s">
        <v>886</v>
      </c>
      <c r="L311" s="821" t="s">
        <v>908</v>
      </c>
      <c r="M311" s="821" t="s">
        <v>1104</v>
      </c>
      <c r="N311" s="821" t="s">
        <v>888</v>
      </c>
      <c r="O311" s="821" t="s">
        <v>886</v>
      </c>
      <c r="P311" s="533">
        <v>15000000</v>
      </c>
      <c r="Q311" s="794">
        <v>-150000</v>
      </c>
      <c r="R311" t="str">
        <f t="shared" si="5"/>
        <v>201701</v>
      </c>
      <c r="S311" s="405">
        <f>-Q311</f>
        <v>150000</v>
      </c>
    </row>
    <row r="312" spans="1:19">
      <c r="A312" s="821" t="s">
        <v>877</v>
      </c>
      <c r="B312" s="821" t="s">
        <v>878</v>
      </c>
      <c r="C312" s="821" t="s">
        <v>879</v>
      </c>
      <c r="D312" s="821" t="s">
        <v>880</v>
      </c>
      <c r="E312" s="821" t="s">
        <v>880</v>
      </c>
      <c r="F312" s="821" t="s">
        <v>881</v>
      </c>
      <c r="G312" s="821" t="s">
        <v>882</v>
      </c>
      <c r="H312" s="821" t="s">
        <v>883</v>
      </c>
      <c r="I312" s="821" t="s">
        <v>909</v>
      </c>
      <c r="J312" s="821" t="s">
        <v>885</v>
      </c>
      <c r="K312" s="821" t="s">
        <v>886</v>
      </c>
      <c r="L312" s="821" t="s">
        <v>909</v>
      </c>
      <c r="M312" s="821" t="s">
        <v>1105</v>
      </c>
      <c r="N312" s="821" t="s">
        <v>886</v>
      </c>
      <c r="O312" s="821" t="s">
        <v>886</v>
      </c>
      <c r="P312" s="533">
        <v>1322038</v>
      </c>
      <c r="Q312" s="820">
        <v>13220.38</v>
      </c>
      <c r="R312" t="str">
        <f t="shared" si="5"/>
        <v>201702</v>
      </c>
      <c r="S312" s="405">
        <f>Q312</f>
        <v>13220.38</v>
      </c>
    </row>
    <row r="313" spans="1:19">
      <c r="A313" s="821" t="s">
        <v>877</v>
      </c>
      <c r="B313" s="821" t="s">
        <v>878</v>
      </c>
      <c r="C313" s="821" t="s">
        <v>879</v>
      </c>
      <c r="D313" s="821" t="s">
        <v>880</v>
      </c>
      <c r="E313" s="821" t="s">
        <v>880</v>
      </c>
      <c r="F313" s="821" t="s">
        <v>881</v>
      </c>
      <c r="G313" s="821" t="s">
        <v>882</v>
      </c>
      <c r="H313" s="821" t="s">
        <v>883</v>
      </c>
      <c r="I313" s="821" t="s">
        <v>909</v>
      </c>
      <c r="J313" s="821" t="s">
        <v>885</v>
      </c>
      <c r="K313" s="821" t="s">
        <v>886</v>
      </c>
      <c r="L313" s="821" t="s">
        <v>909</v>
      </c>
      <c r="M313" s="821" t="s">
        <v>1105</v>
      </c>
      <c r="N313" s="821" t="s">
        <v>886</v>
      </c>
      <c r="O313" s="821" t="s">
        <v>886</v>
      </c>
      <c r="P313" s="533">
        <v>96300000</v>
      </c>
      <c r="Q313" s="794">
        <v>963000</v>
      </c>
      <c r="R313" t="str">
        <f t="shared" si="5"/>
        <v>201702</v>
      </c>
      <c r="S313" s="405">
        <f>Q313</f>
        <v>963000</v>
      </c>
    </row>
    <row r="314" spans="1:19">
      <c r="A314" s="821" t="s">
        <v>877</v>
      </c>
      <c r="B314" s="821" t="s">
        <v>878</v>
      </c>
      <c r="C314" s="821" t="s">
        <v>879</v>
      </c>
      <c r="D314" s="821" t="s">
        <v>880</v>
      </c>
      <c r="E314" s="821" t="s">
        <v>880</v>
      </c>
      <c r="F314" s="821" t="s">
        <v>881</v>
      </c>
      <c r="G314" s="821" t="s">
        <v>882</v>
      </c>
      <c r="H314" s="821" t="s">
        <v>883</v>
      </c>
      <c r="I314" s="821" t="s">
        <v>909</v>
      </c>
      <c r="J314" s="821" t="s">
        <v>885</v>
      </c>
      <c r="K314" s="821" t="s">
        <v>886</v>
      </c>
      <c r="L314" s="821" t="s">
        <v>909</v>
      </c>
      <c r="M314" s="821" t="s">
        <v>1105</v>
      </c>
      <c r="N314" s="821" t="s">
        <v>886</v>
      </c>
      <c r="O314" s="821" t="s">
        <v>886</v>
      </c>
      <c r="P314" s="533">
        <v>100000000</v>
      </c>
      <c r="Q314" s="794">
        <v>1000000</v>
      </c>
      <c r="R314" t="str">
        <f t="shared" si="5"/>
        <v>201702</v>
      </c>
      <c r="S314" s="405">
        <f>Q314</f>
        <v>1000000</v>
      </c>
    </row>
    <row r="315" spans="1:19">
      <c r="A315" s="821" t="s">
        <v>877</v>
      </c>
      <c r="B315" s="821" t="s">
        <v>878</v>
      </c>
      <c r="C315" s="821" t="s">
        <v>879</v>
      </c>
      <c r="D315" s="821" t="s">
        <v>880</v>
      </c>
      <c r="E315" s="821" t="s">
        <v>880</v>
      </c>
      <c r="F315" s="821" t="s">
        <v>881</v>
      </c>
      <c r="G315" s="821" t="s">
        <v>882</v>
      </c>
      <c r="H315" s="821" t="s">
        <v>883</v>
      </c>
      <c r="I315" s="821" t="s">
        <v>909</v>
      </c>
      <c r="J315" s="821" t="s">
        <v>885</v>
      </c>
      <c r="K315" s="821" t="s">
        <v>886</v>
      </c>
      <c r="L315" s="821" t="s">
        <v>909</v>
      </c>
      <c r="M315" s="821" t="s">
        <v>1105</v>
      </c>
      <c r="N315" s="821" t="s">
        <v>888</v>
      </c>
      <c r="O315" s="821" t="s">
        <v>886</v>
      </c>
      <c r="P315" s="533">
        <v>1339669</v>
      </c>
      <c r="Q315" s="820">
        <v>-13396.69</v>
      </c>
      <c r="R315" t="str">
        <f t="shared" si="5"/>
        <v>201702</v>
      </c>
      <c r="S315" s="405">
        <f>-Q315</f>
        <v>13396.69</v>
      </c>
    </row>
    <row r="316" spans="1:19">
      <c r="A316" s="821" t="s">
        <v>877</v>
      </c>
      <c r="B316" s="821" t="s">
        <v>878</v>
      </c>
      <c r="C316" s="821" t="s">
        <v>879</v>
      </c>
      <c r="D316" s="821" t="s">
        <v>880</v>
      </c>
      <c r="E316" s="821" t="s">
        <v>880</v>
      </c>
      <c r="F316" s="821" t="s">
        <v>881</v>
      </c>
      <c r="G316" s="821" t="s">
        <v>882</v>
      </c>
      <c r="H316" s="821" t="s">
        <v>883</v>
      </c>
      <c r="I316" s="821" t="s">
        <v>909</v>
      </c>
      <c r="J316" s="821" t="s">
        <v>885</v>
      </c>
      <c r="K316" s="821" t="s">
        <v>886</v>
      </c>
      <c r="L316" s="821" t="s">
        <v>909</v>
      </c>
      <c r="M316" s="821" t="s">
        <v>1105</v>
      </c>
      <c r="N316" s="821" t="s">
        <v>888</v>
      </c>
      <c r="O316" s="821" t="s">
        <v>886</v>
      </c>
      <c r="P316" s="533">
        <v>15000000</v>
      </c>
      <c r="Q316" s="794">
        <v>-150000</v>
      </c>
      <c r="R316" t="str">
        <f t="shared" si="5"/>
        <v>201702</v>
      </c>
      <c r="S316" s="405">
        <f>-Q316</f>
        <v>150000</v>
      </c>
    </row>
    <row r="317" spans="1:19">
      <c r="A317" s="821" t="s">
        <v>877</v>
      </c>
      <c r="B317" s="821" t="s">
        <v>878</v>
      </c>
      <c r="C317" s="821" t="s">
        <v>879</v>
      </c>
      <c r="D317" s="821" t="s">
        <v>880</v>
      </c>
      <c r="E317" s="821" t="s">
        <v>880</v>
      </c>
      <c r="F317" s="821" t="s">
        <v>881</v>
      </c>
      <c r="G317" s="821" t="s">
        <v>882</v>
      </c>
      <c r="H317" s="821" t="s">
        <v>883</v>
      </c>
      <c r="I317" s="821" t="s">
        <v>909</v>
      </c>
      <c r="J317" s="821" t="s">
        <v>885</v>
      </c>
      <c r="K317" s="821" t="s">
        <v>886</v>
      </c>
      <c r="L317" s="821" t="s">
        <v>909</v>
      </c>
      <c r="M317" s="821" t="s">
        <v>1105</v>
      </c>
      <c r="N317" s="821" t="s">
        <v>888</v>
      </c>
      <c r="O317" s="821" t="s">
        <v>886</v>
      </c>
      <c r="P317" s="533">
        <v>100000000</v>
      </c>
      <c r="Q317" s="794">
        <v>-1000000</v>
      </c>
      <c r="R317" t="str">
        <f t="shared" si="5"/>
        <v>201702</v>
      </c>
      <c r="S317" s="405">
        <f>-Q317</f>
        <v>1000000</v>
      </c>
    </row>
    <row r="318" spans="1:19">
      <c r="A318" s="821" t="s">
        <v>877</v>
      </c>
      <c r="B318" s="821" t="s">
        <v>878</v>
      </c>
      <c r="C318" s="821" t="s">
        <v>879</v>
      </c>
      <c r="D318" s="821" t="s">
        <v>880</v>
      </c>
      <c r="E318" s="821" t="s">
        <v>880</v>
      </c>
      <c r="F318" s="821" t="s">
        <v>881</v>
      </c>
      <c r="G318" s="821" t="s">
        <v>882</v>
      </c>
      <c r="H318" s="821" t="s">
        <v>883</v>
      </c>
      <c r="I318" s="821" t="s">
        <v>910</v>
      </c>
      <c r="J318" s="821" t="s">
        <v>885</v>
      </c>
      <c r="K318" s="821" t="s">
        <v>886</v>
      </c>
      <c r="L318" s="821" t="s">
        <v>910</v>
      </c>
      <c r="M318" s="821" t="s">
        <v>1105</v>
      </c>
      <c r="N318" s="821" t="s">
        <v>886</v>
      </c>
      <c r="O318" s="821" t="s">
        <v>886</v>
      </c>
      <c r="P318" s="533">
        <v>50783</v>
      </c>
      <c r="Q318" s="820">
        <v>507.83</v>
      </c>
      <c r="R318" t="str">
        <f t="shared" si="5"/>
        <v>201702</v>
      </c>
      <c r="S318" s="405">
        <f>Q318</f>
        <v>507.83</v>
      </c>
    </row>
    <row r="319" spans="1:19">
      <c r="A319" s="821" t="s">
        <v>877</v>
      </c>
      <c r="B319" s="821" t="s">
        <v>878</v>
      </c>
      <c r="C319" s="821" t="s">
        <v>879</v>
      </c>
      <c r="D319" s="821" t="s">
        <v>880</v>
      </c>
      <c r="E319" s="821" t="s">
        <v>880</v>
      </c>
      <c r="F319" s="821" t="s">
        <v>881</v>
      </c>
      <c r="G319" s="821" t="s">
        <v>882</v>
      </c>
      <c r="H319" s="821" t="s">
        <v>883</v>
      </c>
      <c r="I319" s="821" t="s">
        <v>910</v>
      </c>
      <c r="J319" s="821" t="s">
        <v>885</v>
      </c>
      <c r="K319" s="821" t="s">
        <v>886</v>
      </c>
      <c r="L319" s="821" t="s">
        <v>910</v>
      </c>
      <c r="M319" s="821" t="s">
        <v>1105</v>
      </c>
      <c r="N319" s="821" t="s">
        <v>888</v>
      </c>
      <c r="O319" s="821" t="s">
        <v>886</v>
      </c>
      <c r="P319" s="533">
        <v>117998</v>
      </c>
      <c r="Q319" s="820">
        <v>-1179.98</v>
      </c>
      <c r="R319" t="str">
        <f t="shared" si="5"/>
        <v>201702</v>
      </c>
      <c r="S319" s="405">
        <f>-Q319</f>
        <v>1179.98</v>
      </c>
    </row>
    <row r="320" spans="1:19">
      <c r="A320" s="821" t="s">
        <v>877</v>
      </c>
      <c r="B320" s="821" t="s">
        <v>878</v>
      </c>
      <c r="C320" s="821" t="s">
        <v>879</v>
      </c>
      <c r="D320" s="821" t="s">
        <v>880</v>
      </c>
      <c r="E320" s="821" t="s">
        <v>880</v>
      </c>
      <c r="F320" s="821" t="s">
        <v>881</v>
      </c>
      <c r="G320" s="821" t="s">
        <v>882</v>
      </c>
      <c r="H320" s="821" t="s">
        <v>883</v>
      </c>
      <c r="I320" s="821" t="s">
        <v>910</v>
      </c>
      <c r="J320" s="821" t="s">
        <v>885</v>
      </c>
      <c r="K320" s="821" t="s">
        <v>886</v>
      </c>
      <c r="L320" s="821" t="s">
        <v>910</v>
      </c>
      <c r="M320" s="821" t="s">
        <v>1105</v>
      </c>
      <c r="N320" s="821" t="s">
        <v>888</v>
      </c>
      <c r="O320" s="821" t="s">
        <v>886</v>
      </c>
      <c r="P320" s="533">
        <v>2031162</v>
      </c>
      <c r="Q320" s="820">
        <v>-20311.62</v>
      </c>
      <c r="R320" t="str">
        <f t="shared" si="5"/>
        <v>201702</v>
      </c>
      <c r="S320" s="405">
        <f>-Q320</f>
        <v>20311.62</v>
      </c>
    </row>
    <row r="321" spans="1:19">
      <c r="A321" s="821" t="s">
        <v>877</v>
      </c>
      <c r="B321" s="821" t="s">
        <v>878</v>
      </c>
      <c r="C321" s="821" t="s">
        <v>879</v>
      </c>
      <c r="D321" s="821" t="s">
        <v>880</v>
      </c>
      <c r="E321" s="821" t="s">
        <v>880</v>
      </c>
      <c r="F321" s="821" t="s">
        <v>881</v>
      </c>
      <c r="G321" s="821" t="s">
        <v>882</v>
      </c>
      <c r="H321" s="821" t="s">
        <v>883</v>
      </c>
      <c r="I321" s="821" t="s">
        <v>911</v>
      </c>
      <c r="J321" s="821" t="s">
        <v>885</v>
      </c>
      <c r="K321" s="821" t="s">
        <v>886</v>
      </c>
      <c r="L321" s="821" t="s">
        <v>911</v>
      </c>
      <c r="M321" s="821" t="s">
        <v>1105</v>
      </c>
      <c r="N321" s="821" t="s">
        <v>886</v>
      </c>
      <c r="O321" s="821" t="s">
        <v>886</v>
      </c>
      <c r="P321" s="533">
        <v>116531</v>
      </c>
      <c r="Q321" s="820">
        <v>1165.31</v>
      </c>
      <c r="R321" t="str">
        <f t="shared" si="5"/>
        <v>201702</v>
      </c>
      <c r="S321" s="405">
        <f>Q321</f>
        <v>1165.31</v>
      </c>
    </row>
    <row r="322" spans="1:19">
      <c r="A322" s="821" t="s">
        <v>877</v>
      </c>
      <c r="B322" s="821" t="s">
        <v>878</v>
      </c>
      <c r="C322" s="821" t="s">
        <v>879</v>
      </c>
      <c r="D322" s="821" t="s">
        <v>880</v>
      </c>
      <c r="E322" s="821" t="s">
        <v>880</v>
      </c>
      <c r="F322" s="821" t="s">
        <v>881</v>
      </c>
      <c r="G322" s="821" t="s">
        <v>882</v>
      </c>
      <c r="H322" s="821" t="s">
        <v>883</v>
      </c>
      <c r="I322" s="821" t="s">
        <v>912</v>
      </c>
      <c r="J322" s="821" t="s">
        <v>885</v>
      </c>
      <c r="K322" s="821" t="s">
        <v>886</v>
      </c>
      <c r="L322" s="821" t="s">
        <v>912</v>
      </c>
      <c r="M322" s="821" t="s">
        <v>1105</v>
      </c>
      <c r="N322" s="821" t="s">
        <v>886</v>
      </c>
      <c r="O322" s="821" t="s">
        <v>886</v>
      </c>
      <c r="P322" s="533">
        <v>126152</v>
      </c>
      <c r="Q322" s="820">
        <v>1261.52</v>
      </c>
      <c r="R322" t="str">
        <f t="shared" si="5"/>
        <v>201702</v>
      </c>
      <c r="S322" s="405">
        <f>Q322</f>
        <v>1261.52</v>
      </c>
    </row>
    <row r="323" spans="1:19">
      <c r="A323" s="821" t="s">
        <v>877</v>
      </c>
      <c r="B323" s="821" t="s">
        <v>878</v>
      </c>
      <c r="C323" s="821" t="s">
        <v>879</v>
      </c>
      <c r="D323" s="821" t="s">
        <v>880</v>
      </c>
      <c r="E323" s="821" t="s">
        <v>880</v>
      </c>
      <c r="F323" s="821" t="s">
        <v>881</v>
      </c>
      <c r="G323" s="821" t="s">
        <v>882</v>
      </c>
      <c r="H323" s="821" t="s">
        <v>883</v>
      </c>
      <c r="I323" s="821" t="s">
        <v>912</v>
      </c>
      <c r="J323" s="821" t="s">
        <v>885</v>
      </c>
      <c r="K323" s="821" t="s">
        <v>886</v>
      </c>
      <c r="L323" s="821" t="s">
        <v>912</v>
      </c>
      <c r="M323" s="821" t="s">
        <v>1105</v>
      </c>
      <c r="N323" s="821" t="s">
        <v>886</v>
      </c>
      <c r="O323" s="821" t="s">
        <v>886</v>
      </c>
      <c r="P323" s="533">
        <v>50000000</v>
      </c>
      <c r="Q323" s="794">
        <v>500000</v>
      </c>
      <c r="R323" t="str">
        <f t="shared" ref="R323:R386" si="6">MID(L323,1,6)</f>
        <v>201702</v>
      </c>
      <c r="S323" s="405">
        <f>Q323</f>
        <v>500000</v>
      </c>
    </row>
    <row r="324" spans="1:19">
      <c r="A324" s="821" t="s">
        <v>877</v>
      </c>
      <c r="B324" s="821" t="s">
        <v>878</v>
      </c>
      <c r="C324" s="821" t="s">
        <v>879</v>
      </c>
      <c r="D324" s="821" t="s">
        <v>880</v>
      </c>
      <c r="E324" s="821" t="s">
        <v>880</v>
      </c>
      <c r="F324" s="821" t="s">
        <v>881</v>
      </c>
      <c r="G324" s="821" t="s">
        <v>882</v>
      </c>
      <c r="H324" s="821" t="s">
        <v>883</v>
      </c>
      <c r="I324" s="821" t="s">
        <v>912</v>
      </c>
      <c r="J324" s="821" t="s">
        <v>885</v>
      </c>
      <c r="K324" s="821" t="s">
        <v>886</v>
      </c>
      <c r="L324" s="821" t="s">
        <v>912</v>
      </c>
      <c r="M324" s="821" t="s">
        <v>1105</v>
      </c>
      <c r="N324" s="821" t="s">
        <v>888</v>
      </c>
      <c r="O324" s="821" t="s">
        <v>886</v>
      </c>
      <c r="P324" s="533">
        <v>104536</v>
      </c>
      <c r="Q324" s="820">
        <v>-1045.3599999999999</v>
      </c>
      <c r="R324" t="str">
        <f t="shared" si="6"/>
        <v>201702</v>
      </c>
      <c r="S324" s="405">
        <f>-Q324</f>
        <v>1045.3599999999999</v>
      </c>
    </row>
    <row r="325" spans="1:19">
      <c r="A325" s="821" t="s">
        <v>877</v>
      </c>
      <c r="B325" s="821" t="s">
        <v>878</v>
      </c>
      <c r="C325" s="821" t="s">
        <v>879</v>
      </c>
      <c r="D325" s="821" t="s">
        <v>880</v>
      </c>
      <c r="E325" s="821" t="s">
        <v>880</v>
      </c>
      <c r="F325" s="821" t="s">
        <v>881</v>
      </c>
      <c r="G325" s="821" t="s">
        <v>882</v>
      </c>
      <c r="H325" s="821" t="s">
        <v>883</v>
      </c>
      <c r="I325" s="821" t="s">
        <v>912</v>
      </c>
      <c r="J325" s="821" t="s">
        <v>885</v>
      </c>
      <c r="K325" s="821" t="s">
        <v>886</v>
      </c>
      <c r="L325" s="821" t="s">
        <v>912</v>
      </c>
      <c r="M325" s="821" t="s">
        <v>1105</v>
      </c>
      <c r="N325" s="821" t="s">
        <v>886</v>
      </c>
      <c r="O325" s="821" t="s">
        <v>886</v>
      </c>
      <c r="P325" s="533">
        <v>365852</v>
      </c>
      <c r="Q325" s="820">
        <v>3658.52</v>
      </c>
      <c r="R325" t="str">
        <f t="shared" si="6"/>
        <v>201702</v>
      </c>
      <c r="S325" s="405">
        <f>Q325</f>
        <v>3658.52</v>
      </c>
    </row>
    <row r="326" spans="1:19">
      <c r="A326" s="821" t="s">
        <v>877</v>
      </c>
      <c r="B326" s="821" t="s">
        <v>878</v>
      </c>
      <c r="C326" s="821" t="s">
        <v>879</v>
      </c>
      <c r="D326" s="821" t="s">
        <v>880</v>
      </c>
      <c r="E326" s="821" t="s">
        <v>880</v>
      </c>
      <c r="F326" s="821" t="s">
        <v>881</v>
      </c>
      <c r="G326" s="821" t="s">
        <v>882</v>
      </c>
      <c r="H326" s="821" t="s">
        <v>883</v>
      </c>
      <c r="I326" s="821" t="s">
        <v>912</v>
      </c>
      <c r="J326" s="821" t="s">
        <v>885</v>
      </c>
      <c r="K326" s="821" t="s">
        <v>886</v>
      </c>
      <c r="L326" s="821" t="s">
        <v>912</v>
      </c>
      <c r="M326" s="821" t="s">
        <v>1105</v>
      </c>
      <c r="N326" s="821" t="s">
        <v>888</v>
      </c>
      <c r="O326" s="821" t="s">
        <v>886</v>
      </c>
      <c r="P326" s="533">
        <v>15034745</v>
      </c>
      <c r="Q326" s="794">
        <v>-150347.45000000001</v>
      </c>
      <c r="R326" t="str">
        <f t="shared" si="6"/>
        <v>201702</v>
      </c>
      <c r="S326" s="405">
        <f>-Q326</f>
        <v>150347.45000000001</v>
      </c>
    </row>
    <row r="327" spans="1:19">
      <c r="A327" s="821" t="s">
        <v>877</v>
      </c>
      <c r="B327" s="821" t="s">
        <v>878</v>
      </c>
      <c r="C327" s="821" t="s">
        <v>879</v>
      </c>
      <c r="D327" s="821" t="s">
        <v>880</v>
      </c>
      <c r="E327" s="821" t="s">
        <v>880</v>
      </c>
      <c r="F327" s="821" t="s">
        <v>881</v>
      </c>
      <c r="G327" s="821" t="s">
        <v>882</v>
      </c>
      <c r="H327" s="821" t="s">
        <v>883</v>
      </c>
      <c r="I327" s="821" t="s">
        <v>914</v>
      </c>
      <c r="J327" s="821" t="s">
        <v>885</v>
      </c>
      <c r="K327" s="821" t="s">
        <v>886</v>
      </c>
      <c r="L327" s="821" t="s">
        <v>914</v>
      </c>
      <c r="M327" s="821" t="s">
        <v>1105</v>
      </c>
      <c r="N327" s="821" t="s">
        <v>886</v>
      </c>
      <c r="O327" s="821" t="s">
        <v>886</v>
      </c>
      <c r="P327" s="533">
        <v>51388</v>
      </c>
      <c r="Q327" s="820">
        <v>513.88</v>
      </c>
      <c r="R327" t="str">
        <f t="shared" si="6"/>
        <v>201702</v>
      </c>
      <c r="S327" s="405">
        <f>Q327</f>
        <v>513.88</v>
      </c>
    </row>
    <row r="328" spans="1:19">
      <c r="A328" s="821" t="s">
        <v>877</v>
      </c>
      <c r="B328" s="821" t="s">
        <v>878</v>
      </c>
      <c r="C328" s="821" t="s">
        <v>879</v>
      </c>
      <c r="D328" s="821" t="s">
        <v>880</v>
      </c>
      <c r="E328" s="821" t="s">
        <v>880</v>
      </c>
      <c r="F328" s="821" t="s">
        <v>881</v>
      </c>
      <c r="G328" s="821" t="s">
        <v>882</v>
      </c>
      <c r="H328" s="821" t="s">
        <v>883</v>
      </c>
      <c r="I328" s="821" t="s">
        <v>914</v>
      </c>
      <c r="J328" s="821" t="s">
        <v>885</v>
      </c>
      <c r="K328" s="821" t="s">
        <v>886</v>
      </c>
      <c r="L328" s="821" t="s">
        <v>914</v>
      </c>
      <c r="M328" s="821" t="s">
        <v>1105</v>
      </c>
      <c r="N328" s="821" t="s">
        <v>888</v>
      </c>
      <c r="O328" s="821" t="s">
        <v>886</v>
      </c>
      <c r="P328" s="533">
        <v>14972336</v>
      </c>
      <c r="Q328" s="794">
        <v>-149723.35999999999</v>
      </c>
      <c r="R328" t="str">
        <f t="shared" si="6"/>
        <v>201702</v>
      </c>
      <c r="S328" s="405">
        <f>-Q328</f>
        <v>149723.35999999999</v>
      </c>
    </row>
    <row r="329" spans="1:19">
      <c r="A329" s="821" t="s">
        <v>877</v>
      </c>
      <c r="B329" s="821" t="s">
        <v>878</v>
      </c>
      <c r="C329" s="821" t="s">
        <v>879</v>
      </c>
      <c r="D329" s="821" t="s">
        <v>880</v>
      </c>
      <c r="E329" s="821" t="s">
        <v>880</v>
      </c>
      <c r="F329" s="821" t="s">
        <v>881</v>
      </c>
      <c r="G329" s="821" t="s">
        <v>882</v>
      </c>
      <c r="H329" s="821" t="s">
        <v>883</v>
      </c>
      <c r="I329" s="821" t="s">
        <v>915</v>
      </c>
      <c r="J329" s="821" t="s">
        <v>885</v>
      </c>
      <c r="K329" s="821" t="s">
        <v>886</v>
      </c>
      <c r="L329" s="821" t="s">
        <v>915</v>
      </c>
      <c r="M329" s="821" t="s">
        <v>1105</v>
      </c>
      <c r="N329" s="821" t="s">
        <v>886</v>
      </c>
      <c r="O329" s="821" t="s">
        <v>886</v>
      </c>
      <c r="P329" s="533">
        <v>249575</v>
      </c>
      <c r="Q329" s="820">
        <v>2495.75</v>
      </c>
      <c r="R329" t="str">
        <f t="shared" si="6"/>
        <v>201702</v>
      </c>
      <c r="S329" s="405">
        <f>Q329</f>
        <v>2495.75</v>
      </c>
    </row>
    <row r="330" spans="1:19">
      <c r="A330" s="821" t="s">
        <v>877</v>
      </c>
      <c r="B330" s="821" t="s">
        <v>878</v>
      </c>
      <c r="C330" s="821" t="s">
        <v>879</v>
      </c>
      <c r="D330" s="821" t="s">
        <v>880</v>
      </c>
      <c r="E330" s="821" t="s">
        <v>880</v>
      </c>
      <c r="F330" s="821" t="s">
        <v>881</v>
      </c>
      <c r="G330" s="821" t="s">
        <v>882</v>
      </c>
      <c r="H330" s="821" t="s">
        <v>883</v>
      </c>
      <c r="I330" s="821" t="s">
        <v>915</v>
      </c>
      <c r="J330" s="821" t="s">
        <v>885</v>
      </c>
      <c r="K330" s="821" t="s">
        <v>886</v>
      </c>
      <c r="L330" s="821" t="s">
        <v>915</v>
      </c>
      <c r="M330" s="821" t="s">
        <v>1105</v>
      </c>
      <c r="N330" s="821" t="s">
        <v>886</v>
      </c>
      <c r="O330" s="821" t="s">
        <v>886</v>
      </c>
      <c r="P330" s="533">
        <v>100000000</v>
      </c>
      <c r="Q330" s="794">
        <v>1000000</v>
      </c>
      <c r="R330" t="str">
        <f t="shared" si="6"/>
        <v>201702</v>
      </c>
      <c r="S330" s="405">
        <f>Q330</f>
        <v>1000000</v>
      </c>
    </row>
    <row r="331" spans="1:19">
      <c r="A331" s="821" t="s">
        <v>877</v>
      </c>
      <c r="B331" s="821" t="s">
        <v>878</v>
      </c>
      <c r="C331" s="821" t="s">
        <v>879</v>
      </c>
      <c r="D331" s="821" t="s">
        <v>880</v>
      </c>
      <c r="E331" s="821" t="s">
        <v>880</v>
      </c>
      <c r="F331" s="821" t="s">
        <v>881</v>
      </c>
      <c r="G331" s="821" t="s">
        <v>882</v>
      </c>
      <c r="H331" s="821" t="s">
        <v>883</v>
      </c>
      <c r="I331" s="821" t="s">
        <v>916</v>
      </c>
      <c r="J331" s="821" t="s">
        <v>885</v>
      </c>
      <c r="K331" s="821" t="s">
        <v>886</v>
      </c>
      <c r="L331" s="821" t="s">
        <v>916</v>
      </c>
      <c r="M331" s="821" t="s">
        <v>1105</v>
      </c>
      <c r="N331" s="821" t="s">
        <v>886</v>
      </c>
      <c r="O331" s="821" t="s">
        <v>886</v>
      </c>
      <c r="P331" s="533">
        <v>5424</v>
      </c>
      <c r="Q331" s="820">
        <v>54.24</v>
      </c>
      <c r="R331" t="str">
        <f t="shared" si="6"/>
        <v>201702</v>
      </c>
      <c r="S331" s="405">
        <f>Q331</f>
        <v>54.24</v>
      </c>
    </row>
    <row r="332" spans="1:19">
      <c r="A332" s="821" t="s">
        <v>877</v>
      </c>
      <c r="B332" s="821" t="s">
        <v>878</v>
      </c>
      <c r="C332" s="821" t="s">
        <v>879</v>
      </c>
      <c r="D332" s="821" t="s">
        <v>880</v>
      </c>
      <c r="E332" s="821" t="s">
        <v>880</v>
      </c>
      <c r="F332" s="821" t="s">
        <v>881</v>
      </c>
      <c r="G332" s="821" t="s">
        <v>882</v>
      </c>
      <c r="H332" s="821" t="s">
        <v>883</v>
      </c>
      <c r="I332" s="821" t="s">
        <v>916</v>
      </c>
      <c r="J332" s="821" t="s">
        <v>885</v>
      </c>
      <c r="K332" s="821" t="s">
        <v>886</v>
      </c>
      <c r="L332" s="821" t="s">
        <v>916</v>
      </c>
      <c r="M332" s="821" t="s">
        <v>1105</v>
      </c>
      <c r="N332" s="821" t="s">
        <v>888</v>
      </c>
      <c r="O332" s="821" t="s">
        <v>886</v>
      </c>
      <c r="P332" s="533">
        <v>248343</v>
      </c>
      <c r="Q332" s="820">
        <v>-2483.4299999999998</v>
      </c>
      <c r="R332" t="str">
        <f t="shared" si="6"/>
        <v>201702</v>
      </c>
      <c r="S332" s="405">
        <f>-Q332</f>
        <v>2483.4299999999998</v>
      </c>
    </row>
    <row r="333" spans="1:19">
      <c r="A333" s="821" t="s">
        <v>877</v>
      </c>
      <c r="B333" s="821" t="s">
        <v>878</v>
      </c>
      <c r="C333" s="821" t="s">
        <v>879</v>
      </c>
      <c r="D333" s="821" t="s">
        <v>880</v>
      </c>
      <c r="E333" s="821" t="s">
        <v>880</v>
      </c>
      <c r="F333" s="821" t="s">
        <v>881</v>
      </c>
      <c r="G333" s="821" t="s">
        <v>882</v>
      </c>
      <c r="H333" s="821" t="s">
        <v>883</v>
      </c>
      <c r="I333" s="821" t="s">
        <v>916</v>
      </c>
      <c r="J333" s="821" t="s">
        <v>885</v>
      </c>
      <c r="K333" s="821" t="s">
        <v>886</v>
      </c>
      <c r="L333" s="821" t="s">
        <v>916</v>
      </c>
      <c r="M333" s="821" t="s">
        <v>1105</v>
      </c>
      <c r="N333" s="821" t="s">
        <v>888</v>
      </c>
      <c r="O333" s="821" t="s">
        <v>886</v>
      </c>
      <c r="P333" s="533">
        <v>9849371</v>
      </c>
      <c r="Q333" s="794">
        <v>-98493.71</v>
      </c>
      <c r="R333" t="str">
        <f t="shared" si="6"/>
        <v>201702</v>
      </c>
      <c r="S333" s="405">
        <f>-Q333</f>
        <v>98493.71</v>
      </c>
    </row>
    <row r="334" spans="1:19">
      <c r="A334" s="821" t="s">
        <v>877</v>
      </c>
      <c r="B334" s="821" t="s">
        <v>878</v>
      </c>
      <c r="C334" s="821" t="s">
        <v>879</v>
      </c>
      <c r="D334" s="821" t="s">
        <v>880</v>
      </c>
      <c r="E334" s="821" t="s">
        <v>880</v>
      </c>
      <c r="F334" s="821" t="s">
        <v>881</v>
      </c>
      <c r="G334" s="821" t="s">
        <v>882</v>
      </c>
      <c r="H334" s="821" t="s">
        <v>883</v>
      </c>
      <c r="I334" s="821" t="s">
        <v>917</v>
      </c>
      <c r="J334" s="821" t="s">
        <v>885</v>
      </c>
      <c r="K334" s="821" t="s">
        <v>886</v>
      </c>
      <c r="L334" s="821" t="s">
        <v>917</v>
      </c>
      <c r="M334" s="821" t="s">
        <v>1105</v>
      </c>
      <c r="N334" s="821" t="s">
        <v>886</v>
      </c>
      <c r="O334" s="821" t="s">
        <v>886</v>
      </c>
      <c r="P334" s="533">
        <v>176710</v>
      </c>
      <c r="Q334" s="820">
        <v>1767.1</v>
      </c>
      <c r="R334" t="str">
        <f t="shared" si="6"/>
        <v>201702</v>
      </c>
      <c r="S334" s="405">
        <f>Q334</f>
        <v>1767.1</v>
      </c>
    </row>
    <row r="335" spans="1:19">
      <c r="A335" s="821" t="s">
        <v>877</v>
      </c>
      <c r="B335" s="821" t="s">
        <v>878</v>
      </c>
      <c r="C335" s="821" t="s">
        <v>879</v>
      </c>
      <c r="D335" s="821" t="s">
        <v>880</v>
      </c>
      <c r="E335" s="821" t="s">
        <v>880</v>
      </c>
      <c r="F335" s="821" t="s">
        <v>881</v>
      </c>
      <c r="G335" s="821" t="s">
        <v>882</v>
      </c>
      <c r="H335" s="821" t="s">
        <v>883</v>
      </c>
      <c r="I335" s="821" t="s">
        <v>917</v>
      </c>
      <c r="J335" s="821" t="s">
        <v>885</v>
      </c>
      <c r="K335" s="821" t="s">
        <v>886</v>
      </c>
      <c r="L335" s="821" t="s">
        <v>917</v>
      </c>
      <c r="M335" s="821" t="s">
        <v>1105</v>
      </c>
      <c r="N335" s="821" t="s">
        <v>888</v>
      </c>
      <c r="O335" s="821" t="s">
        <v>886</v>
      </c>
      <c r="P335" s="533">
        <v>20384720</v>
      </c>
      <c r="Q335" s="794">
        <v>-203847.2</v>
      </c>
      <c r="R335" t="str">
        <f t="shared" si="6"/>
        <v>201702</v>
      </c>
      <c r="S335" s="405">
        <f>-Q335</f>
        <v>203847.2</v>
      </c>
    </row>
    <row r="336" spans="1:19">
      <c r="A336" s="821" t="s">
        <v>877</v>
      </c>
      <c r="B336" s="821" t="s">
        <v>878</v>
      </c>
      <c r="C336" s="821" t="s">
        <v>879</v>
      </c>
      <c r="D336" s="821" t="s">
        <v>880</v>
      </c>
      <c r="E336" s="821" t="s">
        <v>880</v>
      </c>
      <c r="F336" s="821" t="s">
        <v>881</v>
      </c>
      <c r="G336" s="821" t="s">
        <v>882</v>
      </c>
      <c r="H336" s="821" t="s">
        <v>883</v>
      </c>
      <c r="I336" s="821" t="s">
        <v>917</v>
      </c>
      <c r="J336" s="821" t="s">
        <v>885</v>
      </c>
      <c r="K336" s="821" t="s">
        <v>886</v>
      </c>
      <c r="L336" s="821" t="s">
        <v>917</v>
      </c>
      <c r="M336" s="821" t="s">
        <v>1105</v>
      </c>
      <c r="N336" s="821" t="s">
        <v>888</v>
      </c>
      <c r="O336" s="821" t="s">
        <v>886</v>
      </c>
      <c r="P336" s="533">
        <v>50032644</v>
      </c>
      <c r="Q336" s="794">
        <v>-500326.44</v>
      </c>
      <c r="R336" t="str">
        <f t="shared" si="6"/>
        <v>201702</v>
      </c>
      <c r="S336" s="405">
        <f>-Q336</f>
        <v>500326.44</v>
      </c>
    </row>
    <row r="337" spans="1:19">
      <c r="A337" s="821" t="s">
        <v>877</v>
      </c>
      <c r="B337" s="821" t="s">
        <v>878</v>
      </c>
      <c r="C337" s="821" t="s">
        <v>879</v>
      </c>
      <c r="D337" s="821" t="s">
        <v>880</v>
      </c>
      <c r="E337" s="821" t="s">
        <v>880</v>
      </c>
      <c r="F337" s="821" t="s">
        <v>881</v>
      </c>
      <c r="G337" s="821" t="s">
        <v>882</v>
      </c>
      <c r="H337" s="821" t="s">
        <v>883</v>
      </c>
      <c r="I337" s="821" t="s">
        <v>918</v>
      </c>
      <c r="J337" s="821" t="s">
        <v>885</v>
      </c>
      <c r="K337" s="821" t="s">
        <v>886</v>
      </c>
      <c r="L337" s="821" t="s">
        <v>918</v>
      </c>
      <c r="M337" s="821" t="s">
        <v>1105</v>
      </c>
      <c r="N337" s="821" t="s">
        <v>888</v>
      </c>
      <c r="O337" s="821" t="s">
        <v>886</v>
      </c>
      <c r="P337" s="533">
        <v>2060591</v>
      </c>
      <c r="Q337" s="820">
        <v>-20605.91</v>
      </c>
      <c r="R337" t="str">
        <f t="shared" si="6"/>
        <v>201702</v>
      </c>
      <c r="S337" s="405">
        <f>-Q337</f>
        <v>20605.91</v>
      </c>
    </row>
    <row r="338" spans="1:19">
      <c r="A338" s="821" t="s">
        <v>877</v>
      </c>
      <c r="B338" s="821" t="s">
        <v>878</v>
      </c>
      <c r="C338" s="821" t="s">
        <v>879</v>
      </c>
      <c r="D338" s="821" t="s">
        <v>880</v>
      </c>
      <c r="E338" s="821" t="s">
        <v>880</v>
      </c>
      <c r="F338" s="821" t="s">
        <v>881</v>
      </c>
      <c r="G338" s="821" t="s">
        <v>882</v>
      </c>
      <c r="H338" s="821" t="s">
        <v>883</v>
      </c>
      <c r="I338" s="821" t="s">
        <v>919</v>
      </c>
      <c r="J338" s="821" t="s">
        <v>885</v>
      </c>
      <c r="K338" s="821" t="s">
        <v>886</v>
      </c>
      <c r="L338" s="821" t="s">
        <v>919</v>
      </c>
      <c r="M338" s="821" t="s">
        <v>1105</v>
      </c>
      <c r="N338" s="821" t="s">
        <v>886</v>
      </c>
      <c r="O338" s="821" t="s">
        <v>886</v>
      </c>
      <c r="P338" s="533">
        <v>350323</v>
      </c>
      <c r="Q338" s="820">
        <v>3503.23</v>
      </c>
      <c r="R338" t="str">
        <f t="shared" si="6"/>
        <v>201702</v>
      </c>
      <c r="S338" s="405">
        <f>Q338</f>
        <v>3503.23</v>
      </c>
    </row>
    <row r="339" spans="1:19">
      <c r="A339" s="821" t="s">
        <v>877</v>
      </c>
      <c r="B339" s="821" t="s">
        <v>878</v>
      </c>
      <c r="C339" s="821" t="s">
        <v>879</v>
      </c>
      <c r="D339" s="821" t="s">
        <v>880</v>
      </c>
      <c r="E339" s="821" t="s">
        <v>880</v>
      </c>
      <c r="F339" s="821" t="s">
        <v>881</v>
      </c>
      <c r="G339" s="821" t="s">
        <v>882</v>
      </c>
      <c r="H339" s="821" t="s">
        <v>883</v>
      </c>
      <c r="I339" s="821" t="s">
        <v>919</v>
      </c>
      <c r="J339" s="821" t="s">
        <v>885</v>
      </c>
      <c r="K339" s="821" t="s">
        <v>886</v>
      </c>
      <c r="L339" s="821" t="s">
        <v>919</v>
      </c>
      <c r="M339" s="821" t="s">
        <v>1105</v>
      </c>
      <c r="N339" s="821" t="s">
        <v>888</v>
      </c>
      <c r="O339" s="821" t="s">
        <v>886</v>
      </c>
      <c r="P339" s="533">
        <v>1053112</v>
      </c>
      <c r="Q339" s="820">
        <v>-10531.12</v>
      </c>
      <c r="R339" t="str">
        <f t="shared" si="6"/>
        <v>201702</v>
      </c>
      <c r="S339" s="405">
        <f>-Q339</f>
        <v>10531.12</v>
      </c>
    </row>
    <row r="340" spans="1:19">
      <c r="A340" s="821" t="s">
        <v>877</v>
      </c>
      <c r="B340" s="821" t="s">
        <v>878</v>
      </c>
      <c r="C340" s="821" t="s">
        <v>879</v>
      </c>
      <c r="D340" s="821" t="s">
        <v>880</v>
      </c>
      <c r="E340" s="821" t="s">
        <v>880</v>
      </c>
      <c r="F340" s="821" t="s">
        <v>881</v>
      </c>
      <c r="G340" s="821" t="s">
        <v>882</v>
      </c>
      <c r="H340" s="821" t="s">
        <v>883</v>
      </c>
      <c r="I340" s="821" t="s">
        <v>919</v>
      </c>
      <c r="J340" s="821" t="s">
        <v>885</v>
      </c>
      <c r="K340" s="821" t="s">
        <v>886</v>
      </c>
      <c r="L340" s="821" t="s">
        <v>919</v>
      </c>
      <c r="M340" s="821" t="s">
        <v>1105</v>
      </c>
      <c r="N340" s="821" t="s">
        <v>888</v>
      </c>
      <c r="O340" s="821" t="s">
        <v>886</v>
      </c>
      <c r="P340" s="533">
        <v>15023975</v>
      </c>
      <c r="Q340" s="794">
        <v>-150239.75</v>
      </c>
      <c r="R340" t="str">
        <f t="shared" si="6"/>
        <v>201702</v>
      </c>
      <c r="S340" s="405">
        <f>-Q340</f>
        <v>150239.75</v>
      </c>
    </row>
    <row r="341" spans="1:19">
      <c r="A341" s="821" t="s">
        <v>877</v>
      </c>
      <c r="B341" s="821" t="s">
        <v>878</v>
      </c>
      <c r="C341" s="821" t="s">
        <v>879</v>
      </c>
      <c r="D341" s="821" t="s">
        <v>880</v>
      </c>
      <c r="E341" s="821" t="s">
        <v>880</v>
      </c>
      <c r="F341" s="821" t="s">
        <v>881</v>
      </c>
      <c r="G341" s="821" t="s">
        <v>882</v>
      </c>
      <c r="H341" s="821" t="s">
        <v>883</v>
      </c>
      <c r="I341" s="821" t="s">
        <v>920</v>
      </c>
      <c r="J341" s="821" t="s">
        <v>885</v>
      </c>
      <c r="K341" s="821" t="s">
        <v>886</v>
      </c>
      <c r="L341" s="821" t="s">
        <v>920</v>
      </c>
      <c r="M341" s="821" t="s">
        <v>1105</v>
      </c>
      <c r="N341" s="821" t="s">
        <v>886</v>
      </c>
      <c r="O341" s="821" t="s">
        <v>886</v>
      </c>
      <c r="P341" s="533">
        <v>476686</v>
      </c>
      <c r="Q341" s="820">
        <v>4766.8599999999997</v>
      </c>
      <c r="R341" t="str">
        <f t="shared" si="6"/>
        <v>201702</v>
      </c>
      <c r="S341" s="405">
        <f>Q341</f>
        <v>4766.8599999999997</v>
      </c>
    </row>
    <row r="342" spans="1:19">
      <c r="A342" s="821" t="s">
        <v>877</v>
      </c>
      <c r="B342" s="821" t="s">
        <v>878</v>
      </c>
      <c r="C342" s="821" t="s">
        <v>879</v>
      </c>
      <c r="D342" s="821" t="s">
        <v>880</v>
      </c>
      <c r="E342" s="821" t="s">
        <v>880</v>
      </c>
      <c r="F342" s="821" t="s">
        <v>881</v>
      </c>
      <c r="G342" s="821" t="s">
        <v>882</v>
      </c>
      <c r="H342" s="821" t="s">
        <v>883</v>
      </c>
      <c r="I342" s="821" t="s">
        <v>920</v>
      </c>
      <c r="J342" s="821" t="s">
        <v>885</v>
      </c>
      <c r="K342" s="821" t="s">
        <v>886</v>
      </c>
      <c r="L342" s="821" t="s">
        <v>920</v>
      </c>
      <c r="M342" s="821" t="s">
        <v>1105</v>
      </c>
      <c r="N342" s="821" t="s">
        <v>886</v>
      </c>
      <c r="O342" s="821" t="s">
        <v>886</v>
      </c>
      <c r="P342" s="533">
        <v>44705100</v>
      </c>
      <c r="Q342" s="824">
        <v>447051</v>
      </c>
      <c r="R342" t="str">
        <f t="shared" si="6"/>
        <v>201702</v>
      </c>
      <c r="S342" s="405">
        <f>Q342</f>
        <v>447051</v>
      </c>
    </row>
    <row r="343" spans="1:19">
      <c r="A343" s="821" t="s">
        <v>877</v>
      </c>
      <c r="B343" s="821" t="s">
        <v>878</v>
      </c>
      <c r="C343" s="821" t="s">
        <v>879</v>
      </c>
      <c r="D343" s="821" t="s">
        <v>880</v>
      </c>
      <c r="E343" s="821" t="s">
        <v>880</v>
      </c>
      <c r="F343" s="821" t="s">
        <v>881</v>
      </c>
      <c r="G343" s="821" t="s">
        <v>882</v>
      </c>
      <c r="H343" s="821" t="s">
        <v>883</v>
      </c>
      <c r="I343" s="821" t="s">
        <v>920</v>
      </c>
      <c r="J343" s="821" t="s">
        <v>885</v>
      </c>
      <c r="K343" s="821" t="s">
        <v>886</v>
      </c>
      <c r="L343" s="821" t="s">
        <v>920</v>
      </c>
      <c r="M343" s="821" t="s">
        <v>1105</v>
      </c>
      <c r="N343" s="821" t="s">
        <v>886</v>
      </c>
      <c r="O343" s="821" t="s">
        <v>886</v>
      </c>
      <c r="P343" s="533">
        <v>33000188</v>
      </c>
      <c r="Q343" s="824">
        <v>330001.88</v>
      </c>
      <c r="R343" t="str">
        <f t="shared" si="6"/>
        <v>201702</v>
      </c>
      <c r="S343" s="405">
        <f>Q343</f>
        <v>330001.88</v>
      </c>
    </row>
    <row r="344" spans="1:19">
      <c r="A344" s="821" t="s">
        <v>877</v>
      </c>
      <c r="B344" s="821" t="s">
        <v>878</v>
      </c>
      <c r="C344" s="821" t="s">
        <v>879</v>
      </c>
      <c r="D344" s="821" t="s">
        <v>880</v>
      </c>
      <c r="E344" s="821" t="s">
        <v>880</v>
      </c>
      <c r="F344" s="821" t="s">
        <v>881</v>
      </c>
      <c r="G344" s="821" t="s">
        <v>882</v>
      </c>
      <c r="H344" s="821" t="s">
        <v>883</v>
      </c>
      <c r="I344" s="821" t="s">
        <v>920</v>
      </c>
      <c r="J344" s="821" t="s">
        <v>885</v>
      </c>
      <c r="K344" s="821" t="s">
        <v>886</v>
      </c>
      <c r="L344" s="821" t="s">
        <v>920</v>
      </c>
      <c r="M344" s="821" t="s">
        <v>1105</v>
      </c>
      <c r="N344" s="821" t="s">
        <v>888</v>
      </c>
      <c r="O344" s="821" t="s">
        <v>886</v>
      </c>
      <c r="P344" s="533">
        <v>61931518</v>
      </c>
      <c r="Q344" s="794">
        <v>-619315.18000000005</v>
      </c>
      <c r="R344" t="str">
        <f t="shared" si="6"/>
        <v>201702</v>
      </c>
      <c r="S344" s="405">
        <f>-Q344</f>
        <v>619315.18000000005</v>
      </c>
    </row>
    <row r="345" spans="1:19">
      <c r="A345" s="821" t="s">
        <v>877</v>
      </c>
      <c r="B345" s="821" t="s">
        <v>878</v>
      </c>
      <c r="C345" s="821" t="s">
        <v>879</v>
      </c>
      <c r="D345" s="821" t="s">
        <v>880</v>
      </c>
      <c r="E345" s="821" t="s">
        <v>880</v>
      </c>
      <c r="F345" s="821" t="s">
        <v>881</v>
      </c>
      <c r="G345" s="821" t="s">
        <v>882</v>
      </c>
      <c r="H345" s="821" t="s">
        <v>883</v>
      </c>
      <c r="I345" s="821" t="s">
        <v>920</v>
      </c>
      <c r="J345" s="821" t="s">
        <v>885</v>
      </c>
      <c r="K345" s="821" t="s">
        <v>886</v>
      </c>
      <c r="L345" s="821" t="s">
        <v>920</v>
      </c>
      <c r="M345" s="821" t="s">
        <v>1105</v>
      </c>
      <c r="N345" s="821" t="s">
        <v>888</v>
      </c>
      <c r="O345" s="821" t="s">
        <v>886</v>
      </c>
      <c r="P345" s="533">
        <v>33000188</v>
      </c>
      <c r="Q345" s="794">
        <v>-330001.88</v>
      </c>
      <c r="R345" t="str">
        <f t="shared" si="6"/>
        <v>201702</v>
      </c>
      <c r="S345" s="405">
        <f>-Q345</f>
        <v>330001.88</v>
      </c>
    </row>
    <row r="346" spans="1:19">
      <c r="A346" s="821" t="s">
        <v>877</v>
      </c>
      <c r="B346" s="821" t="s">
        <v>878</v>
      </c>
      <c r="C346" s="821" t="s">
        <v>879</v>
      </c>
      <c r="D346" s="821" t="s">
        <v>880</v>
      </c>
      <c r="E346" s="821" t="s">
        <v>880</v>
      </c>
      <c r="F346" s="821" t="s">
        <v>881</v>
      </c>
      <c r="G346" s="821" t="s">
        <v>882</v>
      </c>
      <c r="H346" s="821" t="s">
        <v>883</v>
      </c>
      <c r="I346" s="821" t="s">
        <v>920</v>
      </c>
      <c r="J346" s="821" t="s">
        <v>885</v>
      </c>
      <c r="K346" s="821" t="s">
        <v>886</v>
      </c>
      <c r="L346" s="821" t="s">
        <v>920</v>
      </c>
      <c r="M346" s="821" t="s">
        <v>1105</v>
      </c>
      <c r="N346" s="821" t="s">
        <v>888</v>
      </c>
      <c r="O346" s="821" t="s">
        <v>886</v>
      </c>
      <c r="P346" s="533">
        <v>30244461</v>
      </c>
      <c r="Q346" s="794">
        <v>-302444.61</v>
      </c>
      <c r="R346" t="str">
        <f t="shared" si="6"/>
        <v>201702</v>
      </c>
      <c r="S346" s="405">
        <f>-Q346</f>
        <v>302444.61</v>
      </c>
    </row>
    <row r="347" spans="1:19">
      <c r="A347" s="821" t="s">
        <v>877</v>
      </c>
      <c r="B347" s="821" t="s">
        <v>878</v>
      </c>
      <c r="C347" s="821" t="s">
        <v>879</v>
      </c>
      <c r="D347" s="821" t="s">
        <v>880</v>
      </c>
      <c r="E347" s="821" t="s">
        <v>880</v>
      </c>
      <c r="F347" s="821" t="s">
        <v>881</v>
      </c>
      <c r="G347" s="821" t="s">
        <v>882</v>
      </c>
      <c r="H347" s="821" t="s">
        <v>883</v>
      </c>
      <c r="I347" s="821" t="s">
        <v>921</v>
      </c>
      <c r="J347" s="821" t="s">
        <v>885</v>
      </c>
      <c r="K347" s="821" t="s">
        <v>886</v>
      </c>
      <c r="L347" s="821" t="s">
        <v>921</v>
      </c>
      <c r="M347" s="821" t="s">
        <v>1105</v>
      </c>
      <c r="N347" s="821" t="s">
        <v>886</v>
      </c>
      <c r="O347" s="821" t="s">
        <v>886</v>
      </c>
      <c r="P347" s="533">
        <v>3125194</v>
      </c>
      <c r="Q347" s="820">
        <v>31251.94</v>
      </c>
      <c r="R347" t="str">
        <f t="shared" si="6"/>
        <v>201703</v>
      </c>
      <c r="S347" s="405">
        <f>Q347</f>
        <v>31251.94</v>
      </c>
    </row>
    <row r="348" spans="1:19">
      <c r="A348" s="821" t="s">
        <v>877</v>
      </c>
      <c r="B348" s="821" t="s">
        <v>878</v>
      </c>
      <c r="C348" s="821" t="s">
        <v>879</v>
      </c>
      <c r="D348" s="821" t="s">
        <v>880</v>
      </c>
      <c r="E348" s="821" t="s">
        <v>880</v>
      </c>
      <c r="F348" s="821" t="s">
        <v>881</v>
      </c>
      <c r="G348" s="821" t="s">
        <v>882</v>
      </c>
      <c r="H348" s="821" t="s">
        <v>883</v>
      </c>
      <c r="I348" s="821" t="s">
        <v>921</v>
      </c>
      <c r="J348" s="821" t="s">
        <v>885</v>
      </c>
      <c r="K348" s="821" t="s">
        <v>886</v>
      </c>
      <c r="L348" s="821" t="s">
        <v>921</v>
      </c>
      <c r="M348" s="821" t="s">
        <v>1105</v>
      </c>
      <c r="N348" s="821" t="s">
        <v>886</v>
      </c>
      <c r="O348" s="821" t="s">
        <v>886</v>
      </c>
      <c r="P348" s="533">
        <v>2838430</v>
      </c>
      <c r="Q348" s="820">
        <v>28384.3</v>
      </c>
      <c r="R348" t="str">
        <f t="shared" si="6"/>
        <v>201703</v>
      </c>
      <c r="S348" s="405">
        <f>Q348</f>
        <v>28384.3</v>
      </c>
    </row>
    <row r="349" spans="1:19">
      <c r="A349" s="821" t="s">
        <v>877</v>
      </c>
      <c r="B349" s="821" t="s">
        <v>878</v>
      </c>
      <c r="C349" s="821" t="s">
        <v>879</v>
      </c>
      <c r="D349" s="821" t="s">
        <v>880</v>
      </c>
      <c r="E349" s="821" t="s">
        <v>880</v>
      </c>
      <c r="F349" s="821" t="s">
        <v>881</v>
      </c>
      <c r="G349" s="821" t="s">
        <v>882</v>
      </c>
      <c r="H349" s="821" t="s">
        <v>883</v>
      </c>
      <c r="I349" s="821" t="s">
        <v>921</v>
      </c>
      <c r="J349" s="821" t="s">
        <v>885</v>
      </c>
      <c r="K349" s="821" t="s">
        <v>886</v>
      </c>
      <c r="L349" s="821" t="s">
        <v>921</v>
      </c>
      <c r="M349" s="821" t="s">
        <v>1105</v>
      </c>
      <c r="N349" s="821" t="s">
        <v>886</v>
      </c>
      <c r="O349" s="821" t="s">
        <v>886</v>
      </c>
      <c r="P349" s="533">
        <v>50000000</v>
      </c>
      <c r="Q349" s="794">
        <v>500000</v>
      </c>
      <c r="R349" t="str">
        <f t="shared" si="6"/>
        <v>201703</v>
      </c>
      <c r="S349" s="405">
        <f>Q349</f>
        <v>500000</v>
      </c>
    </row>
    <row r="350" spans="1:19">
      <c r="A350" s="821" t="s">
        <v>877</v>
      </c>
      <c r="B350" s="821" t="s">
        <v>878</v>
      </c>
      <c r="C350" s="821" t="s">
        <v>879</v>
      </c>
      <c r="D350" s="821" t="s">
        <v>880</v>
      </c>
      <c r="E350" s="821" t="s">
        <v>880</v>
      </c>
      <c r="F350" s="821" t="s">
        <v>881</v>
      </c>
      <c r="G350" s="821" t="s">
        <v>882</v>
      </c>
      <c r="H350" s="821" t="s">
        <v>883</v>
      </c>
      <c r="I350" s="821" t="s">
        <v>921</v>
      </c>
      <c r="J350" s="821" t="s">
        <v>885</v>
      </c>
      <c r="K350" s="821" t="s">
        <v>886</v>
      </c>
      <c r="L350" s="821" t="s">
        <v>921</v>
      </c>
      <c r="M350" s="821" t="s">
        <v>1105</v>
      </c>
      <c r="N350" s="821" t="s">
        <v>888</v>
      </c>
      <c r="O350" s="821" t="s">
        <v>886</v>
      </c>
      <c r="P350" s="533">
        <v>3009228</v>
      </c>
      <c r="Q350" s="820">
        <v>-30092.28</v>
      </c>
      <c r="R350" t="str">
        <f t="shared" si="6"/>
        <v>201703</v>
      </c>
      <c r="S350" s="405">
        <f>-Q350</f>
        <v>30092.28</v>
      </c>
    </row>
    <row r="351" spans="1:19">
      <c r="A351" s="821" t="s">
        <v>877</v>
      </c>
      <c r="B351" s="821" t="s">
        <v>878</v>
      </c>
      <c r="C351" s="821" t="s">
        <v>879</v>
      </c>
      <c r="D351" s="821" t="s">
        <v>880</v>
      </c>
      <c r="E351" s="821" t="s">
        <v>880</v>
      </c>
      <c r="F351" s="821" t="s">
        <v>881</v>
      </c>
      <c r="G351" s="821" t="s">
        <v>882</v>
      </c>
      <c r="H351" s="821" t="s">
        <v>883</v>
      </c>
      <c r="I351" s="821" t="s">
        <v>921</v>
      </c>
      <c r="J351" s="821" t="s">
        <v>885</v>
      </c>
      <c r="K351" s="821" t="s">
        <v>886</v>
      </c>
      <c r="L351" s="821" t="s">
        <v>921</v>
      </c>
      <c r="M351" s="821" t="s">
        <v>1105</v>
      </c>
      <c r="N351" s="821" t="s">
        <v>888</v>
      </c>
      <c r="O351" s="821" t="s">
        <v>886</v>
      </c>
      <c r="P351" s="533">
        <v>20701433</v>
      </c>
      <c r="Q351" s="794">
        <v>-207014.33</v>
      </c>
      <c r="R351" t="str">
        <f t="shared" si="6"/>
        <v>201703</v>
      </c>
      <c r="S351" s="405">
        <f>-Q351</f>
        <v>207014.33</v>
      </c>
    </row>
    <row r="352" spans="1:19">
      <c r="A352" s="821" t="s">
        <v>877</v>
      </c>
      <c r="B352" s="821" t="s">
        <v>878</v>
      </c>
      <c r="C352" s="821" t="s">
        <v>879</v>
      </c>
      <c r="D352" s="821" t="s">
        <v>880</v>
      </c>
      <c r="E352" s="821" t="s">
        <v>880</v>
      </c>
      <c r="F352" s="821" t="s">
        <v>881</v>
      </c>
      <c r="G352" s="821" t="s">
        <v>882</v>
      </c>
      <c r="H352" s="821" t="s">
        <v>883</v>
      </c>
      <c r="I352" s="821" t="s">
        <v>922</v>
      </c>
      <c r="J352" s="821" t="s">
        <v>885</v>
      </c>
      <c r="K352" s="821" t="s">
        <v>886</v>
      </c>
      <c r="L352" s="821" t="s">
        <v>922</v>
      </c>
      <c r="M352" s="821" t="s">
        <v>1105</v>
      </c>
      <c r="N352" s="821" t="s">
        <v>888</v>
      </c>
      <c r="O352" s="821" t="s">
        <v>886</v>
      </c>
      <c r="P352" s="533">
        <v>270627</v>
      </c>
      <c r="Q352" s="820">
        <v>-2706.27</v>
      </c>
      <c r="R352" t="str">
        <f t="shared" si="6"/>
        <v>201703</v>
      </c>
      <c r="S352" s="405">
        <f>-Q352</f>
        <v>2706.27</v>
      </c>
    </row>
    <row r="353" spans="1:19">
      <c r="A353" s="821" t="s">
        <v>877</v>
      </c>
      <c r="B353" s="821" t="s">
        <v>878</v>
      </c>
      <c r="C353" s="821" t="s">
        <v>879</v>
      </c>
      <c r="D353" s="821" t="s">
        <v>880</v>
      </c>
      <c r="E353" s="821" t="s">
        <v>880</v>
      </c>
      <c r="F353" s="821" t="s">
        <v>881</v>
      </c>
      <c r="G353" s="821" t="s">
        <v>882</v>
      </c>
      <c r="H353" s="821" t="s">
        <v>883</v>
      </c>
      <c r="I353" s="821" t="s">
        <v>923</v>
      </c>
      <c r="J353" s="821" t="s">
        <v>885</v>
      </c>
      <c r="K353" s="821" t="s">
        <v>886</v>
      </c>
      <c r="L353" s="821" t="s">
        <v>923</v>
      </c>
      <c r="M353" s="821" t="s">
        <v>1105</v>
      </c>
      <c r="N353" s="821" t="s">
        <v>886</v>
      </c>
      <c r="O353" s="821" t="s">
        <v>886</v>
      </c>
      <c r="P353" s="533">
        <v>79948</v>
      </c>
      <c r="Q353" s="820">
        <v>799.48</v>
      </c>
      <c r="R353" t="str">
        <f t="shared" si="6"/>
        <v>201703</v>
      </c>
      <c r="S353" s="405">
        <f>Q353</f>
        <v>799.48</v>
      </c>
    </row>
    <row r="354" spans="1:19">
      <c r="A354" s="821" t="s">
        <v>877</v>
      </c>
      <c r="B354" s="821" t="s">
        <v>878</v>
      </c>
      <c r="C354" s="821" t="s">
        <v>879</v>
      </c>
      <c r="D354" s="821" t="s">
        <v>880</v>
      </c>
      <c r="E354" s="821" t="s">
        <v>880</v>
      </c>
      <c r="F354" s="821" t="s">
        <v>881</v>
      </c>
      <c r="G354" s="821" t="s">
        <v>882</v>
      </c>
      <c r="H354" s="821" t="s">
        <v>883</v>
      </c>
      <c r="I354" s="821" t="s">
        <v>923</v>
      </c>
      <c r="J354" s="821" t="s">
        <v>885</v>
      </c>
      <c r="K354" s="821" t="s">
        <v>886</v>
      </c>
      <c r="L354" s="821" t="s">
        <v>923</v>
      </c>
      <c r="M354" s="821" t="s">
        <v>1105</v>
      </c>
      <c r="N354" s="821" t="s">
        <v>888</v>
      </c>
      <c r="O354" s="821" t="s">
        <v>886</v>
      </c>
      <c r="P354" s="533">
        <v>97361</v>
      </c>
      <c r="Q354" s="820">
        <v>-973.61</v>
      </c>
      <c r="R354" t="str">
        <f t="shared" si="6"/>
        <v>201703</v>
      </c>
      <c r="S354" s="405">
        <f t="shared" ref="S354:S360" si="7">-Q354</f>
        <v>973.61</v>
      </c>
    </row>
    <row r="355" spans="1:19">
      <c r="A355" s="821" t="s">
        <v>877</v>
      </c>
      <c r="B355" s="821" t="s">
        <v>878</v>
      </c>
      <c r="C355" s="821" t="s">
        <v>879</v>
      </c>
      <c r="D355" s="821" t="s">
        <v>880</v>
      </c>
      <c r="E355" s="821" t="s">
        <v>880</v>
      </c>
      <c r="F355" s="821" t="s">
        <v>881</v>
      </c>
      <c r="G355" s="821" t="s">
        <v>882</v>
      </c>
      <c r="H355" s="821" t="s">
        <v>883</v>
      </c>
      <c r="I355" s="821" t="s">
        <v>924</v>
      </c>
      <c r="J355" s="821" t="s">
        <v>885</v>
      </c>
      <c r="K355" s="821" t="s">
        <v>886</v>
      </c>
      <c r="L355" s="821" t="s">
        <v>924</v>
      </c>
      <c r="M355" s="821" t="s">
        <v>1105</v>
      </c>
      <c r="N355" s="821" t="s">
        <v>888</v>
      </c>
      <c r="O355" s="821" t="s">
        <v>886</v>
      </c>
      <c r="P355" s="533">
        <v>28823</v>
      </c>
      <c r="Q355" s="820">
        <v>-288.23</v>
      </c>
      <c r="R355" t="str">
        <f t="shared" si="6"/>
        <v>201703</v>
      </c>
      <c r="S355" s="405">
        <f t="shared" si="7"/>
        <v>288.23</v>
      </c>
    </row>
    <row r="356" spans="1:19">
      <c r="A356" s="821" t="s">
        <v>877</v>
      </c>
      <c r="B356" s="821" t="s">
        <v>878</v>
      </c>
      <c r="C356" s="821" t="s">
        <v>879</v>
      </c>
      <c r="D356" s="821" t="s">
        <v>880</v>
      </c>
      <c r="E356" s="821" t="s">
        <v>880</v>
      </c>
      <c r="F356" s="821" t="s">
        <v>881</v>
      </c>
      <c r="G356" s="821" t="s">
        <v>882</v>
      </c>
      <c r="H356" s="821" t="s">
        <v>883</v>
      </c>
      <c r="I356" s="821" t="s">
        <v>924</v>
      </c>
      <c r="J356" s="821" t="s">
        <v>885</v>
      </c>
      <c r="K356" s="821" t="s">
        <v>886</v>
      </c>
      <c r="L356" s="821" t="s">
        <v>924</v>
      </c>
      <c r="M356" s="821" t="s">
        <v>1105</v>
      </c>
      <c r="N356" s="821" t="s">
        <v>888</v>
      </c>
      <c r="O356" s="821" t="s">
        <v>886</v>
      </c>
      <c r="P356" s="533">
        <v>1122292</v>
      </c>
      <c r="Q356" s="820">
        <v>-11222.92</v>
      </c>
      <c r="R356" t="str">
        <f t="shared" si="6"/>
        <v>201703</v>
      </c>
      <c r="S356" s="405">
        <f t="shared" si="7"/>
        <v>11222.92</v>
      </c>
    </row>
    <row r="357" spans="1:19">
      <c r="A357" s="821" t="s">
        <v>877</v>
      </c>
      <c r="B357" s="821" t="s">
        <v>878</v>
      </c>
      <c r="C357" s="821" t="s">
        <v>879</v>
      </c>
      <c r="D357" s="821" t="s">
        <v>880</v>
      </c>
      <c r="E357" s="821" t="s">
        <v>880</v>
      </c>
      <c r="F357" s="821" t="s">
        <v>881</v>
      </c>
      <c r="G357" s="821" t="s">
        <v>882</v>
      </c>
      <c r="H357" s="821" t="s">
        <v>883</v>
      </c>
      <c r="I357" s="821" t="s">
        <v>924</v>
      </c>
      <c r="J357" s="821" t="s">
        <v>885</v>
      </c>
      <c r="K357" s="821" t="s">
        <v>886</v>
      </c>
      <c r="L357" s="821" t="s">
        <v>924</v>
      </c>
      <c r="M357" s="821" t="s">
        <v>1105</v>
      </c>
      <c r="N357" s="821" t="s">
        <v>888</v>
      </c>
      <c r="O357" s="821" t="s">
        <v>886</v>
      </c>
      <c r="P357" s="533">
        <v>15000000</v>
      </c>
      <c r="Q357" s="794">
        <v>-150000</v>
      </c>
      <c r="R357" t="str">
        <f t="shared" si="6"/>
        <v>201703</v>
      </c>
      <c r="S357" s="405">
        <f t="shared" si="7"/>
        <v>150000</v>
      </c>
    </row>
    <row r="358" spans="1:19">
      <c r="A358" s="821" t="s">
        <v>877</v>
      </c>
      <c r="B358" s="821" t="s">
        <v>878</v>
      </c>
      <c r="C358" s="821" t="s">
        <v>879</v>
      </c>
      <c r="D358" s="821" t="s">
        <v>880</v>
      </c>
      <c r="E358" s="821" t="s">
        <v>880</v>
      </c>
      <c r="F358" s="821" t="s">
        <v>881</v>
      </c>
      <c r="G358" s="821" t="s">
        <v>882</v>
      </c>
      <c r="H358" s="821" t="s">
        <v>883</v>
      </c>
      <c r="I358" s="821" t="s">
        <v>924</v>
      </c>
      <c r="J358" s="821" t="s">
        <v>885</v>
      </c>
      <c r="K358" s="821" t="s">
        <v>886</v>
      </c>
      <c r="L358" s="821" t="s">
        <v>924</v>
      </c>
      <c r="M358" s="821" t="s">
        <v>1105</v>
      </c>
      <c r="N358" s="821" t="s">
        <v>888</v>
      </c>
      <c r="O358" s="821" t="s">
        <v>886</v>
      </c>
      <c r="P358" s="533">
        <v>20000000</v>
      </c>
      <c r="Q358" s="794">
        <v>-200000</v>
      </c>
      <c r="R358" t="str">
        <f t="shared" si="6"/>
        <v>201703</v>
      </c>
      <c r="S358" s="405">
        <f t="shared" si="7"/>
        <v>200000</v>
      </c>
    </row>
    <row r="359" spans="1:19">
      <c r="A359" s="821" t="s">
        <v>877</v>
      </c>
      <c r="B359" s="821" t="s">
        <v>878</v>
      </c>
      <c r="C359" s="821" t="s">
        <v>879</v>
      </c>
      <c r="D359" s="821" t="s">
        <v>880</v>
      </c>
      <c r="E359" s="821" t="s">
        <v>880</v>
      </c>
      <c r="F359" s="821" t="s">
        <v>881</v>
      </c>
      <c r="G359" s="821" t="s">
        <v>882</v>
      </c>
      <c r="H359" s="821" t="s">
        <v>883</v>
      </c>
      <c r="I359" s="821" t="s">
        <v>924</v>
      </c>
      <c r="J359" s="821" t="s">
        <v>885</v>
      </c>
      <c r="K359" s="821" t="s">
        <v>886</v>
      </c>
      <c r="L359" s="821" t="s">
        <v>924</v>
      </c>
      <c r="M359" s="821" t="s">
        <v>1105</v>
      </c>
      <c r="N359" s="821" t="s">
        <v>888</v>
      </c>
      <c r="O359" s="821" t="s">
        <v>886</v>
      </c>
      <c r="P359" s="533">
        <v>70000000</v>
      </c>
      <c r="Q359" s="823"/>
      <c r="R359" t="str">
        <f>MID(L359,1,6)</f>
        <v>201703</v>
      </c>
      <c r="S359" s="405">
        <f t="shared" si="7"/>
        <v>0</v>
      </c>
    </row>
    <row r="360" spans="1:19">
      <c r="A360" s="821" t="s">
        <v>877</v>
      </c>
      <c r="B360" s="821" t="s">
        <v>878</v>
      </c>
      <c r="C360" s="821" t="s">
        <v>879</v>
      </c>
      <c r="D360" s="821" t="s">
        <v>880</v>
      </c>
      <c r="E360" s="821" t="s">
        <v>880</v>
      </c>
      <c r="F360" s="821" t="s">
        <v>881</v>
      </c>
      <c r="G360" s="821" t="s">
        <v>882</v>
      </c>
      <c r="H360" s="821" t="s">
        <v>883</v>
      </c>
      <c r="I360" s="821" t="s">
        <v>924</v>
      </c>
      <c r="J360" s="821" t="s">
        <v>885</v>
      </c>
      <c r="K360" s="821" t="s">
        <v>886</v>
      </c>
      <c r="L360" s="821" t="s">
        <v>924</v>
      </c>
      <c r="M360" s="821" t="s">
        <v>1105</v>
      </c>
      <c r="N360" s="821" t="s">
        <v>888</v>
      </c>
      <c r="O360" s="821" t="s">
        <v>886</v>
      </c>
      <c r="P360" s="533">
        <v>108800000</v>
      </c>
      <c r="Q360" s="823"/>
      <c r="R360" t="str">
        <f t="shared" si="6"/>
        <v>201703</v>
      </c>
      <c r="S360" s="405">
        <f t="shared" si="7"/>
        <v>0</v>
      </c>
    </row>
    <row r="361" spans="1:19">
      <c r="A361" s="821" t="s">
        <v>877</v>
      </c>
      <c r="B361" s="821" t="s">
        <v>878</v>
      </c>
      <c r="C361" s="821" t="s">
        <v>879</v>
      </c>
      <c r="D361" s="821" t="s">
        <v>880</v>
      </c>
      <c r="E361" s="821" t="s">
        <v>880</v>
      </c>
      <c r="F361" s="821" t="s">
        <v>881</v>
      </c>
      <c r="G361" s="821" t="s">
        <v>882</v>
      </c>
      <c r="H361" s="821" t="s">
        <v>883</v>
      </c>
      <c r="I361" s="821" t="s">
        <v>925</v>
      </c>
      <c r="J361" s="821" t="s">
        <v>885</v>
      </c>
      <c r="K361" s="821" t="s">
        <v>886</v>
      </c>
      <c r="L361" s="821" t="s">
        <v>925</v>
      </c>
      <c r="M361" s="821" t="s">
        <v>1105</v>
      </c>
      <c r="N361" s="821" t="s">
        <v>886</v>
      </c>
      <c r="O361" s="821" t="s">
        <v>886</v>
      </c>
      <c r="P361" s="533">
        <v>20000000</v>
      </c>
      <c r="Q361" s="794">
        <v>200000</v>
      </c>
      <c r="R361" t="str">
        <f t="shared" si="6"/>
        <v>201703</v>
      </c>
      <c r="S361" s="405">
        <f>Q361</f>
        <v>200000</v>
      </c>
    </row>
    <row r="362" spans="1:19">
      <c r="A362" s="821" t="s">
        <v>877</v>
      </c>
      <c r="B362" s="821" t="s">
        <v>878</v>
      </c>
      <c r="C362" s="821" t="s">
        <v>879</v>
      </c>
      <c r="D362" s="821" t="s">
        <v>880</v>
      </c>
      <c r="E362" s="821" t="s">
        <v>880</v>
      </c>
      <c r="F362" s="821" t="s">
        <v>881</v>
      </c>
      <c r="G362" s="821" t="s">
        <v>882</v>
      </c>
      <c r="H362" s="821" t="s">
        <v>883</v>
      </c>
      <c r="I362" s="821" t="s">
        <v>925</v>
      </c>
      <c r="J362" s="821" t="s">
        <v>885</v>
      </c>
      <c r="K362" s="821" t="s">
        <v>886</v>
      </c>
      <c r="L362" s="821" t="s">
        <v>925</v>
      </c>
      <c r="M362" s="821" t="s">
        <v>1105</v>
      </c>
      <c r="N362" s="821" t="s">
        <v>886</v>
      </c>
      <c r="O362" s="821" t="s">
        <v>886</v>
      </c>
      <c r="P362" s="533">
        <v>178800000</v>
      </c>
      <c r="Q362" s="794">
        <v>1788000</v>
      </c>
      <c r="R362" t="str">
        <f t="shared" si="6"/>
        <v>201703</v>
      </c>
      <c r="S362" s="405">
        <f>Q362</f>
        <v>1788000</v>
      </c>
    </row>
    <row r="363" spans="1:19">
      <c r="A363" s="821" t="s">
        <v>877</v>
      </c>
      <c r="B363" s="821" t="s">
        <v>878</v>
      </c>
      <c r="C363" s="821" t="s">
        <v>879</v>
      </c>
      <c r="D363" s="821" t="s">
        <v>880</v>
      </c>
      <c r="E363" s="821" t="s">
        <v>880</v>
      </c>
      <c r="F363" s="821" t="s">
        <v>881</v>
      </c>
      <c r="G363" s="821" t="s">
        <v>882</v>
      </c>
      <c r="H363" s="821" t="s">
        <v>883</v>
      </c>
      <c r="I363" s="821" t="s">
        <v>925</v>
      </c>
      <c r="J363" s="821" t="s">
        <v>885</v>
      </c>
      <c r="K363" s="821" t="s">
        <v>886</v>
      </c>
      <c r="L363" s="821" t="s">
        <v>925</v>
      </c>
      <c r="M363" s="821" t="s">
        <v>1105</v>
      </c>
      <c r="N363" s="821" t="s">
        <v>888</v>
      </c>
      <c r="O363" s="821" t="s">
        <v>886</v>
      </c>
      <c r="P363" s="533">
        <v>737987</v>
      </c>
      <c r="Q363" s="820">
        <v>-7379.87</v>
      </c>
      <c r="R363" t="str">
        <f t="shared" si="6"/>
        <v>201703</v>
      </c>
      <c r="S363" s="405">
        <f>-Q363</f>
        <v>7379.87</v>
      </c>
    </row>
    <row r="364" spans="1:19">
      <c r="A364" s="821" t="s">
        <v>877</v>
      </c>
      <c r="B364" s="821" t="s">
        <v>878</v>
      </c>
      <c r="C364" s="821" t="s">
        <v>879</v>
      </c>
      <c r="D364" s="821" t="s">
        <v>880</v>
      </c>
      <c r="E364" s="821" t="s">
        <v>880</v>
      </c>
      <c r="F364" s="821" t="s">
        <v>881</v>
      </c>
      <c r="G364" s="821" t="s">
        <v>882</v>
      </c>
      <c r="H364" s="821" t="s">
        <v>883</v>
      </c>
      <c r="I364" s="821" t="s">
        <v>925</v>
      </c>
      <c r="J364" s="821" t="s">
        <v>885</v>
      </c>
      <c r="K364" s="821" t="s">
        <v>886</v>
      </c>
      <c r="L364" s="821" t="s">
        <v>925</v>
      </c>
      <c r="M364" s="821" t="s">
        <v>1105</v>
      </c>
      <c r="N364" s="821" t="s">
        <v>888</v>
      </c>
      <c r="O364" s="821" t="s">
        <v>886</v>
      </c>
      <c r="P364" s="533">
        <v>15000000</v>
      </c>
      <c r="Q364" s="794">
        <v>-150000</v>
      </c>
      <c r="R364" t="str">
        <f t="shared" si="6"/>
        <v>201703</v>
      </c>
      <c r="S364" s="405">
        <f>-Q364</f>
        <v>150000</v>
      </c>
    </row>
    <row r="365" spans="1:19">
      <c r="A365" s="821" t="s">
        <v>877</v>
      </c>
      <c r="B365" s="821" t="s">
        <v>878</v>
      </c>
      <c r="C365" s="821" t="s">
        <v>879</v>
      </c>
      <c r="D365" s="821" t="s">
        <v>880</v>
      </c>
      <c r="E365" s="821" t="s">
        <v>880</v>
      </c>
      <c r="F365" s="821" t="s">
        <v>881</v>
      </c>
      <c r="G365" s="821" t="s">
        <v>882</v>
      </c>
      <c r="H365" s="821" t="s">
        <v>883</v>
      </c>
      <c r="I365" s="821" t="s">
        <v>926</v>
      </c>
      <c r="J365" s="821" t="s">
        <v>885</v>
      </c>
      <c r="K365" s="821" t="s">
        <v>886</v>
      </c>
      <c r="L365" s="821" t="s">
        <v>926</v>
      </c>
      <c r="M365" s="821" t="s">
        <v>1105</v>
      </c>
      <c r="N365" s="821" t="s">
        <v>886</v>
      </c>
      <c r="O365" s="821" t="s">
        <v>886</v>
      </c>
      <c r="P365" s="533">
        <v>178800000</v>
      </c>
      <c r="Q365" s="823"/>
      <c r="R365" t="str">
        <f t="shared" si="6"/>
        <v>201703</v>
      </c>
      <c r="S365" s="405">
        <f>Q365</f>
        <v>0</v>
      </c>
    </row>
    <row r="366" spans="1:19">
      <c r="A366" s="821" t="s">
        <v>877</v>
      </c>
      <c r="B366" s="821" t="s">
        <v>878</v>
      </c>
      <c r="C366" s="821" t="s">
        <v>879</v>
      </c>
      <c r="D366" s="821" t="s">
        <v>880</v>
      </c>
      <c r="E366" s="821" t="s">
        <v>880</v>
      </c>
      <c r="F366" s="821" t="s">
        <v>881</v>
      </c>
      <c r="G366" s="821" t="s">
        <v>882</v>
      </c>
      <c r="H366" s="821" t="s">
        <v>883</v>
      </c>
      <c r="I366" s="821" t="s">
        <v>926</v>
      </c>
      <c r="J366" s="821" t="s">
        <v>885</v>
      </c>
      <c r="K366" s="821" t="s">
        <v>886</v>
      </c>
      <c r="L366" s="821" t="s">
        <v>926</v>
      </c>
      <c r="M366" s="821" t="s">
        <v>1105</v>
      </c>
      <c r="N366" s="821" t="s">
        <v>888</v>
      </c>
      <c r="O366" s="821" t="s">
        <v>886</v>
      </c>
      <c r="P366" s="533">
        <v>1521065</v>
      </c>
      <c r="Q366" s="820">
        <v>-15210.65</v>
      </c>
      <c r="R366" t="str">
        <f t="shared" si="6"/>
        <v>201703</v>
      </c>
      <c r="S366" s="405">
        <f>-Q366</f>
        <v>15210.65</v>
      </c>
    </row>
    <row r="367" spans="1:19">
      <c r="A367" s="821" t="s">
        <v>877</v>
      </c>
      <c r="B367" s="821" t="s">
        <v>878</v>
      </c>
      <c r="C367" s="821" t="s">
        <v>879</v>
      </c>
      <c r="D367" s="821" t="s">
        <v>880</v>
      </c>
      <c r="E367" s="821" t="s">
        <v>880</v>
      </c>
      <c r="F367" s="821" t="s">
        <v>881</v>
      </c>
      <c r="G367" s="821" t="s">
        <v>882</v>
      </c>
      <c r="H367" s="821" t="s">
        <v>883</v>
      </c>
      <c r="I367" s="821" t="s">
        <v>927</v>
      </c>
      <c r="J367" s="821" t="s">
        <v>885</v>
      </c>
      <c r="K367" s="821" t="s">
        <v>886</v>
      </c>
      <c r="L367" s="821" t="s">
        <v>927</v>
      </c>
      <c r="M367" s="821" t="s">
        <v>1105</v>
      </c>
      <c r="N367" s="821" t="s">
        <v>886</v>
      </c>
      <c r="O367" s="821" t="s">
        <v>886</v>
      </c>
      <c r="P367" s="533">
        <v>1821182</v>
      </c>
      <c r="Q367" s="820">
        <v>18211.82</v>
      </c>
      <c r="R367" t="str">
        <f t="shared" si="6"/>
        <v>201703</v>
      </c>
      <c r="S367" s="405">
        <f>Q367</f>
        <v>18211.82</v>
      </c>
    </row>
    <row r="368" spans="1:19">
      <c r="A368" s="821" t="s">
        <v>877</v>
      </c>
      <c r="B368" s="821" t="s">
        <v>878</v>
      </c>
      <c r="C368" s="821" t="s">
        <v>879</v>
      </c>
      <c r="D368" s="821" t="s">
        <v>880</v>
      </c>
      <c r="E368" s="821" t="s">
        <v>880</v>
      </c>
      <c r="F368" s="821" t="s">
        <v>881</v>
      </c>
      <c r="G368" s="821" t="s">
        <v>882</v>
      </c>
      <c r="H368" s="821" t="s">
        <v>883</v>
      </c>
      <c r="I368" s="821" t="s">
        <v>927</v>
      </c>
      <c r="J368" s="821" t="s">
        <v>885</v>
      </c>
      <c r="K368" s="821" t="s">
        <v>886</v>
      </c>
      <c r="L368" s="821" t="s">
        <v>927</v>
      </c>
      <c r="M368" s="821" t="s">
        <v>1105</v>
      </c>
      <c r="N368" s="821" t="s">
        <v>886</v>
      </c>
      <c r="O368" s="821" t="s">
        <v>886</v>
      </c>
      <c r="P368" s="533">
        <v>225882</v>
      </c>
      <c r="Q368" s="820">
        <v>2258.8200000000002</v>
      </c>
      <c r="R368" t="str">
        <f t="shared" si="6"/>
        <v>201703</v>
      </c>
      <c r="S368" s="405">
        <f>Q368</f>
        <v>2258.8200000000002</v>
      </c>
    </row>
    <row r="369" spans="1:19">
      <c r="A369" s="821" t="s">
        <v>877</v>
      </c>
      <c r="B369" s="821" t="s">
        <v>878</v>
      </c>
      <c r="C369" s="821" t="s">
        <v>879</v>
      </c>
      <c r="D369" s="821" t="s">
        <v>880</v>
      </c>
      <c r="E369" s="821" t="s">
        <v>880</v>
      </c>
      <c r="F369" s="821" t="s">
        <v>881</v>
      </c>
      <c r="G369" s="821" t="s">
        <v>882</v>
      </c>
      <c r="H369" s="821" t="s">
        <v>883</v>
      </c>
      <c r="I369" s="821" t="s">
        <v>927</v>
      </c>
      <c r="J369" s="821" t="s">
        <v>885</v>
      </c>
      <c r="K369" s="821" t="s">
        <v>886</v>
      </c>
      <c r="L369" s="821" t="s">
        <v>927</v>
      </c>
      <c r="M369" s="821" t="s">
        <v>1105</v>
      </c>
      <c r="N369" s="821" t="s">
        <v>888</v>
      </c>
      <c r="O369" s="821" t="s">
        <v>886</v>
      </c>
      <c r="P369" s="533">
        <v>39462778</v>
      </c>
      <c r="Q369" s="794">
        <v>-394627.78</v>
      </c>
      <c r="R369" t="str">
        <f t="shared" si="6"/>
        <v>201703</v>
      </c>
      <c r="S369" s="405">
        <f>-Q369</f>
        <v>394627.78</v>
      </c>
    </row>
    <row r="370" spans="1:19">
      <c r="A370" s="821" t="s">
        <v>877</v>
      </c>
      <c r="B370" s="821" t="s">
        <v>878</v>
      </c>
      <c r="C370" s="821" t="s">
        <v>879</v>
      </c>
      <c r="D370" s="821" t="s">
        <v>880</v>
      </c>
      <c r="E370" s="821" t="s">
        <v>880</v>
      </c>
      <c r="F370" s="821" t="s">
        <v>881</v>
      </c>
      <c r="G370" s="821" t="s">
        <v>882</v>
      </c>
      <c r="H370" s="821" t="s">
        <v>883</v>
      </c>
      <c r="I370" s="821" t="s">
        <v>928</v>
      </c>
      <c r="J370" s="821" t="s">
        <v>885</v>
      </c>
      <c r="K370" s="821" t="s">
        <v>886</v>
      </c>
      <c r="L370" s="821" t="s">
        <v>928</v>
      </c>
      <c r="M370" s="821" t="s">
        <v>1105</v>
      </c>
      <c r="N370" s="821" t="s">
        <v>886</v>
      </c>
      <c r="O370" s="821" t="s">
        <v>886</v>
      </c>
      <c r="P370" s="533">
        <v>128701</v>
      </c>
      <c r="Q370" s="820">
        <v>1287.01</v>
      </c>
      <c r="R370" t="str">
        <f t="shared" si="6"/>
        <v>201703</v>
      </c>
      <c r="S370" s="405">
        <f>Q370</f>
        <v>1287.01</v>
      </c>
    </row>
    <row r="371" spans="1:19">
      <c r="A371" s="821" t="s">
        <v>877</v>
      </c>
      <c r="B371" s="821" t="s">
        <v>878</v>
      </c>
      <c r="C371" s="821" t="s">
        <v>879</v>
      </c>
      <c r="D371" s="821" t="s">
        <v>880</v>
      </c>
      <c r="E371" s="821" t="s">
        <v>880</v>
      </c>
      <c r="F371" s="821" t="s">
        <v>881</v>
      </c>
      <c r="G371" s="821" t="s">
        <v>882</v>
      </c>
      <c r="H371" s="821" t="s">
        <v>883</v>
      </c>
      <c r="I371" s="821" t="s">
        <v>928</v>
      </c>
      <c r="J371" s="821" t="s">
        <v>885</v>
      </c>
      <c r="K371" s="821" t="s">
        <v>886</v>
      </c>
      <c r="L371" s="821" t="s">
        <v>928</v>
      </c>
      <c r="M371" s="821" t="s">
        <v>1105</v>
      </c>
      <c r="N371" s="821" t="s">
        <v>888</v>
      </c>
      <c r="O371" s="821" t="s">
        <v>886</v>
      </c>
      <c r="P371" s="533">
        <v>149318086</v>
      </c>
      <c r="Q371" s="794">
        <v>-1493180.86</v>
      </c>
      <c r="R371" t="str">
        <f t="shared" si="6"/>
        <v>201703</v>
      </c>
      <c r="S371" s="405">
        <f>-Q371</f>
        <v>1493180.86</v>
      </c>
    </row>
    <row r="372" spans="1:19">
      <c r="A372" s="821" t="s">
        <v>877</v>
      </c>
      <c r="B372" s="821" t="s">
        <v>878</v>
      </c>
      <c r="C372" s="821" t="s">
        <v>879</v>
      </c>
      <c r="D372" s="821" t="s">
        <v>880</v>
      </c>
      <c r="E372" s="821" t="s">
        <v>880</v>
      </c>
      <c r="F372" s="821" t="s">
        <v>881</v>
      </c>
      <c r="G372" s="821" t="s">
        <v>882</v>
      </c>
      <c r="H372" s="821" t="s">
        <v>883</v>
      </c>
      <c r="I372" s="821" t="s">
        <v>929</v>
      </c>
      <c r="J372" s="821" t="s">
        <v>885</v>
      </c>
      <c r="K372" s="821" t="s">
        <v>886</v>
      </c>
      <c r="L372" s="821" t="s">
        <v>929</v>
      </c>
      <c r="M372" s="821" t="s">
        <v>1105</v>
      </c>
      <c r="N372" s="821" t="s">
        <v>886</v>
      </c>
      <c r="O372" s="821" t="s">
        <v>886</v>
      </c>
      <c r="P372" s="533">
        <v>313324</v>
      </c>
      <c r="Q372" s="820">
        <v>3133.24</v>
      </c>
      <c r="R372" t="str">
        <f t="shared" si="6"/>
        <v>201703</v>
      </c>
      <c r="S372" s="405">
        <f>Q372</f>
        <v>3133.24</v>
      </c>
    </row>
    <row r="373" spans="1:19">
      <c r="A373" s="821" t="s">
        <v>877</v>
      </c>
      <c r="B373" s="821" t="s">
        <v>878</v>
      </c>
      <c r="C373" s="821" t="s">
        <v>879</v>
      </c>
      <c r="D373" s="821" t="s">
        <v>880</v>
      </c>
      <c r="E373" s="821" t="s">
        <v>880</v>
      </c>
      <c r="F373" s="821" t="s">
        <v>881</v>
      </c>
      <c r="G373" s="821" t="s">
        <v>882</v>
      </c>
      <c r="H373" s="821" t="s">
        <v>883</v>
      </c>
      <c r="I373" s="821" t="s">
        <v>929</v>
      </c>
      <c r="J373" s="821" t="s">
        <v>885</v>
      </c>
      <c r="K373" s="821" t="s">
        <v>886</v>
      </c>
      <c r="L373" s="821" t="s">
        <v>929</v>
      </c>
      <c r="M373" s="821" t="s">
        <v>1105</v>
      </c>
      <c r="N373" s="821" t="s">
        <v>886</v>
      </c>
      <c r="O373" s="821" t="s">
        <v>886</v>
      </c>
      <c r="P373" s="533">
        <v>574900</v>
      </c>
      <c r="Q373" s="820">
        <v>5749</v>
      </c>
      <c r="R373" t="str">
        <f t="shared" si="6"/>
        <v>201703</v>
      </c>
      <c r="S373" s="405">
        <f>Q373</f>
        <v>5749</v>
      </c>
    </row>
    <row r="374" spans="1:19">
      <c r="A374" s="821" t="s">
        <v>877</v>
      </c>
      <c r="B374" s="821" t="s">
        <v>878</v>
      </c>
      <c r="C374" s="821" t="s">
        <v>879</v>
      </c>
      <c r="D374" s="821" t="s">
        <v>880</v>
      </c>
      <c r="E374" s="821" t="s">
        <v>880</v>
      </c>
      <c r="F374" s="821" t="s">
        <v>881</v>
      </c>
      <c r="G374" s="821" t="s">
        <v>882</v>
      </c>
      <c r="H374" s="821" t="s">
        <v>883</v>
      </c>
      <c r="I374" s="821" t="s">
        <v>930</v>
      </c>
      <c r="J374" s="821" t="s">
        <v>885</v>
      </c>
      <c r="K374" s="821" t="s">
        <v>886</v>
      </c>
      <c r="L374" s="821" t="s">
        <v>930</v>
      </c>
      <c r="M374" s="821" t="s">
        <v>1105</v>
      </c>
      <c r="N374" s="821" t="s">
        <v>888</v>
      </c>
      <c r="O374" s="821" t="s">
        <v>886</v>
      </c>
      <c r="P374" s="533">
        <v>84206</v>
      </c>
      <c r="Q374" s="820">
        <v>-842.06</v>
      </c>
      <c r="R374" t="str">
        <f t="shared" si="6"/>
        <v>201703</v>
      </c>
      <c r="S374" s="405">
        <f>-Q374</f>
        <v>842.06</v>
      </c>
    </row>
    <row r="375" spans="1:19">
      <c r="A375" s="821" t="s">
        <v>877</v>
      </c>
      <c r="B375" s="821" t="s">
        <v>878</v>
      </c>
      <c r="C375" s="821" t="s">
        <v>879</v>
      </c>
      <c r="D375" s="821" t="s">
        <v>880</v>
      </c>
      <c r="E375" s="821" t="s">
        <v>880</v>
      </c>
      <c r="F375" s="821" t="s">
        <v>881</v>
      </c>
      <c r="G375" s="821" t="s">
        <v>882</v>
      </c>
      <c r="H375" s="821" t="s">
        <v>883</v>
      </c>
      <c r="I375" s="821" t="s">
        <v>931</v>
      </c>
      <c r="J375" s="821" t="s">
        <v>885</v>
      </c>
      <c r="K375" s="821" t="s">
        <v>886</v>
      </c>
      <c r="L375" s="821" t="s">
        <v>931</v>
      </c>
      <c r="M375" s="821" t="s">
        <v>1105</v>
      </c>
      <c r="N375" s="821" t="s">
        <v>888</v>
      </c>
      <c r="O375" s="821" t="s">
        <v>886</v>
      </c>
      <c r="P375" s="533">
        <v>186651</v>
      </c>
      <c r="Q375" s="820">
        <v>-1866.51</v>
      </c>
      <c r="R375" t="str">
        <f t="shared" si="6"/>
        <v>201703</v>
      </c>
      <c r="S375" s="405">
        <f>-Q375</f>
        <v>1866.51</v>
      </c>
    </row>
    <row r="376" spans="1:19">
      <c r="A376" s="821" t="s">
        <v>877</v>
      </c>
      <c r="B376" s="821" t="s">
        <v>878</v>
      </c>
      <c r="C376" s="821" t="s">
        <v>879</v>
      </c>
      <c r="D376" s="821" t="s">
        <v>880</v>
      </c>
      <c r="E376" s="821" t="s">
        <v>880</v>
      </c>
      <c r="F376" s="821" t="s">
        <v>881</v>
      </c>
      <c r="G376" s="821" t="s">
        <v>882</v>
      </c>
      <c r="H376" s="821" t="s">
        <v>883</v>
      </c>
      <c r="I376" s="821" t="s">
        <v>932</v>
      </c>
      <c r="J376" s="821" t="s">
        <v>885</v>
      </c>
      <c r="K376" s="821" t="s">
        <v>886</v>
      </c>
      <c r="L376" s="821" t="s">
        <v>932</v>
      </c>
      <c r="M376" s="821" t="s">
        <v>1105</v>
      </c>
      <c r="N376" s="821" t="s">
        <v>886</v>
      </c>
      <c r="O376" s="821" t="s">
        <v>886</v>
      </c>
      <c r="P376" s="533">
        <v>765681</v>
      </c>
      <c r="Q376" s="820">
        <v>7656.81</v>
      </c>
      <c r="R376" t="str">
        <f t="shared" si="6"/>
        <v>201703</v>
      </c>
      <c r="S376" s="405">
        <f>Q376</f>
        <v>7656.81</v>
      </c>
    </row>
    <row r="377" spans="1:19">
      <c r="A377" s="821" t="s">
        <v>877</v>
      </c>
      <c r="B377" s="821" t="s">
        <v>878</v>
      </c>
      <c r="C377" s="821" t="s">
        <v>879</v>
      </c>
      <c r="D377" s="821" t="s">
        <v>880</v>
      </c>
      <c r="E377" s="821" t="s">
        <v>880</v>
      </c>
      <c r="F377" s="821" t="s">
        <v>881</v>
      </c>
      <c r="G377" s="821" t="s">
        <v>882</v>
      </c>
      <c r="H377" s="821" t="s">
        <v>883</v>
      </c>
      <c r="I377" s="821" t="s">
        <v>933</v>
      </c>
      <c r="J377" s="821" t="s">
        <v>885</v>
      </c>
      <c r="K377" s="821" t="s">
        <v>886</v>
      </c>
      <c r="L377" s="821" t="s">
        <v>933</v>
      </c>
      <c r="M377" s="821" t="s">
        <v>1105</v>
      </c>
      <c r="N377" s="821" t="s">
        <v>886</v>
      </c>
      <c r="O377" s="821" t="s">
        <v>886</v>
      </c>
      <c r="P377" s="533">
        <v>375253</v>
      </c>
      <c r="Q377" s="820">
        <v>3752.53</v>
      </c>
      <c r="R377" t="str">
        <f t="shared" si="6"/>
        <v>201703</v>
      </c>
      <c r="S377" s="405">
        <f>Q377</f>
        <v>3752.53</v>
      </c>
    </row>
    <row r="378" spans="1:19">
      <c r="A378" s="821" t="s">
        <v>877</v>
      </c>
      <c r="B378" s="821" t="s">
        <v>878</v>
      </c>
      <c r="C378" s="821" t="s">
        <v>879</v>
      </c>
      <c r="D378" s="821" t="s">
        <v>880</v>
      </c>
      <c r="E378" s="821" t="s">
        <v>880</v>
      </c>
      <c r="F378" s="821" t="s">
        <v>881</v>
      </c>
      <c r="G378" s="821" t="s">
        <v>882</v>
      </c>
      <c r="H378" s="821" t="s">
        <v>883</v>
      </c>
      <c r="I378" s="821" t="s">
        <v>933</v>
      </c>
      <c r="J378" s="821" t="s">
        <v>885</v>
      </c>
      <c r="K378" s="821" t="s">
        <v>886</v>
      </c>
      <c r="L378" s="821" t="s">
        <v>933</v>
      </c>
      <c r="M378" s="821" t="s">
        <v>1105</v>
      </c>
      <c r="N378" s="821" t="s">
        <v>886</v>
      </c>
      <c r="O378" s="821" t="s">
        <v>886</v>
      </c>
      <c r="P378" s="533">
        <v>833200</v>
      </c>
      <c r="Q378" s="820">
        <v>8332</v>
      </c>
      <c r="R378" t="str">
        <f t="shared" si="6"/>
        <v>201703</v>
      </c>
      <c r="S378" s="405">
        <f>Q378</f>
        <v>8332</v>
      </c>
    </row>
    <row r="379" spans="1:19">
      <c r="A379" s="821" t="s">
        <v>877</v>
      </c>
      <c r="B379" s="821" t="s">
        <v>878</v>
      </c>
      <c r="C379" s="821" t="s">
        <v>879</v>
      </c>
      <c r="D379" s="821" t="s">
        <v>880</v>
      </c>
      <c r="E379" s="821" t="s">
        <v>880</v>
      </c>
      <c r="F379" s="821" t="s">
        <v>881</v>
      </c>
      <c r="G379" s="821" t="s">
        <v>882</v>
      </c>
      <c r="H379" s="821" t="s">
        <v>883</v>
      </c>
      <c r="I379" s="821" t="s">
        <v>933</v>
      </c>
      <c r="J379" s="821" t="s">
        <v>885</v>
      </c>
      <c r="K379" s="821" t="s">
        <v>886</v>
      </c>
      <c r="L379" s="821" t="s">
        <v>933</v>
      </c>
      <c r="M379" s="821" t="s">
        <v>1105</v>
      </c>
      <c r="N379" s="821" t="s">
        <v>888</v>
      </c>
      <c r="O379" s="821" t="s">
        <v>886</v>
      </c>
      <c r="P379" s="533">
        <v>16523620</v>
      </c>
      <c r="Q379" s="794">
        <v>-165236.20000000001</v>
      </c>
      <c r="R379" t="str">
        <f t="shared" si="6"/>
        <v>201703</v>
      </c>
      <c r="S379" s="405">
        <f>-Q379</f>
        <v>165236.20000000001</v>
      </c>
    </row>
    <row r="380" spans="1:19">
      <c r="A380" s="821" t="s">
        <v>877</v>
      </c>
      <c r="B380" s="821" t="s">
        <v>878</v>
      </c>
      <c r="C380" s="821" t="s">
        <v>879</v>
      </c>
      <c r="D380" s="821" t="s">
        <v>880</v>
      </c>
      <c r="E380" s="821" t="s">
        <v>880</v>
      </c>
      <c r="F380" s="821" t="s">
        <v>881</v>
      </c>
      <c r="G380" s="821" t="s">
        <v>882</v>
      </c>
      <c r="H380" s="821" t="s">
        <v>883</v>
      </c>
      <c r="I380" s="821" t="s">
        <v>934</v>
      </c>
      <c r="J380" s="821" t="s">
        <v>885</v>
      </c>
      <c r="K380" s="821" t="s">
        <v>886</v>
      </c>
      <c r="L380" s="821" t="s">
        <v>934</v>
      </c>
      <c r="M380" s="821" t="s">
        <v>1105</v>
      </c>
      <c r="N380" s="821" t="s">
        <v>886</v>
      </c>
      <c r="O380" s="821" t="s">
        <v>886</v>
      </c>
      <c r="P380" s="533">
        <v>637942</v>
      </c>
      <c r="Q380" s="820">
        <v>6379.42</v>
      </c>
      <c r="R380" t="str">
        <f t="shared" si="6"/>
        <v>201703</v>
      </c>
      <c r="S380" s="405">
        <f>Q380</f>
        <v>6379.42</v>
      </c>
    </row>
    <row r="381" spans="1:19">
      <c r="A381" s="821" t="s">
        <v>877</v>
      </c>
      <c r="B381" s="821" t="s">
        <v>878</v>
      </c>
      <c r="C381" s="821" t="s">
        <v>879</v>
      </c>
      <c r="D381" s="821" t="s">
        <v>880</v>
      </c>
      <c r="E381" s="821" t="s">
        <v>880</v>
      </c>
      <c r="F381" s="821" t="s">
        <v>881</v>
      </c>
      <c r="G381" s="821" t="s">
        <v>882</v>
      </c>
      <c r="H381" s="821" t="s">
        <v>883</v>
      </c>
      <c r="I381" s="821" t="s">
        <v>934</v>
      </c>
      <c r="J381" s="821" t="s">
        <v>885</v>
      </c>
      <c r="K381" s="821" t="s">
        <v>886</v>
      </c>
      <c r="L381" s="821" t="s">
        <v>934</v>
      </c>
      <c r="M381" s="821" t="s">
        <v>1105</v>
      </c>
      <c r="N381" s="821" t="s">
        <v>886</v>
      </c>
      <c r="O381" s="821" t="s">
        <v>886</v>
      </c>
      <c r="P381" s="533">
        <v>663</v>
      </c>
      <c r="Q381" s="820">
        <v>6.63</v>
      </c>
      <c r="R381" t="str">
        <f t="shared" si="6"/>
        <v>201703</v>
      </c>
      <c r="S381" s="405">
        <f>Q381</f>
        <v>6.63</v>
      </c>
    </row>
    <row r="382" spans="1:19">
      <c r="A382" s="821" t="s">
        <v>877</v>
      </c>
      <c r="B382" s="821" t="s">
        <v>878</v>
      </c>
      <c r="C382" s="821" t="s">
        <v>879</v>
      </c>
      <c r="D382" s="821" t="s">
        <v>880</v>
      </c>
      <c r="E382" s="821" t="s">
        <v>880</v>
      </c>
      <c r="F382" s="821" t="s">
        <v>881</v>
      </c>
      <c r="G382" s="821" t="s">
        <v>882</v>
      </c>
      <c r="H382" s="821" t="s">
        <v>883</v>
      </c>
      <c r="I382" s="821" t="s">
        <v>935</v>
      </c>
      <c r="J382" s="821" t="s">
        <v>885</v>
      </c>
      <c r="K382" s="821" t="s">
        <v>886</v>
      </c>
      <c r="L382" s="821" t="s">
        <v>935</v>
      </c>
      <c r="M382" s="821" t="s">
        <v>1105</v>
      </c>
      <c r="N382" s="821" t="s">
        <v>888</v>
      </c>
      <c r="O382" s="821" t="s">
        <v>886</v>
      </c>
      <c r="P382" s="533">
        <v>387444</v>
      </c>
      <c r="Q382" s="820">
        <v>-3874.44</v>
      </c>
      <c r="R382" t="str">
        <f t="shared" si="6"/>
        <v>201703</v>
      </c>
      <c r="S382" s="405">
        <f>-Q382</f>
        <v>3874.44</v>
      </c>
    </row>
    <row r="383" spans="1:19">
      <c r="A383" s="821" t="s">
        <v>877</v>
      </c>
      <c r="B383" s="821" t="s">
        <v>878</v>
      </c>
      <c r="C383" s="821" t="s">
        <v>879</v>
      </c>
      <c r="D383" s="821" t="s">
        <v>880</v>
      </c>
      <c r="E383" s="821" t="s">
        <v>880</v>
      </c>
      <c r="F383" s="821" t="s">
        <v>881</v>
      </c>
      <c r="G383" s="821" t="s">
        <v>882</v>
      </c>
      <c r="H383" s="821" t="s">
        <v>883</v>
      </c>
      <c r="I383" s="821" t="s">
        <v>936</v>
      </c>
      <c r="J383" s="821" t="s">
        <v>885</v>
      </c>
      <c r="K383" s="821" t="s">
        <v>886</v>
      </c>
      <c r="L383" s="821" t="s">
        <v>936</v>
      </c>
      <c r="M383" s="821" t="s">
        <v>1105</v>
      </c>
      <c r="N383" s="821" t="s">
        <v>886</v>
      </c>
      <c r="O383" s="821" t="s">
        <v>886</v>
      </c>
      <c r="P383" s="533">
        <v>1317438</v>
      </c>
      <c r="Q383" s="820">
        <v>13174.38</v>
      </c>
      <c r="R383" t="str">
        <f t="shared" si="6"/>
        <v>201703</v>
      </c>
      <c r="S383" s="405">
        <f>Q383</f>
        <v>13174.38</v>
      </c>
    </row>
    <row r="384" spans="1:19">
      <c r="A384" s="821" t="s">
        <v>877</v>
      </c>
      <c r="B384" s="821" t="s">
        <v>878</v>
      </c>
      <c r="C384" s="821" t="s">
        <v>879</v>
      </c>
      <c r="D384" s="821" t="s">
        <v>880</v>
      </c>
      <c r="E384" s="821" t="s">
        <v>880</v>
      </c>
      <c r="F384" s="821" t="s">
        <v>881</v>
      </c>
      <c r="G384" s="821" t="s">
        <v>882</v>
      </c>
      <c r="H384" s="821" t="s">
        <v>883</v>
      </c>
      <c r="I384" s="821" t="s">
        <v>936</v>
      </c>
      <c r="J384" s="821" t="s">
        <v>885</v>
      </c>
      <c r="K384" s="821" t="s">
        <v>886</v>
      </c>
      <c r="L384" s="821" t="s">
        <v>936</v>
      </c>
      <c r="M384" s="821" t="s">
        <v>1105</v>
      </c>
      <c r="N384" s="821" t="s">
        <v>888</v>
      </c>
      <c r="O384" s="821" t="s">
        <v>886</v>
      </c>
      <c r="P384" s="533">
        <v>394743</v>
      </c>
      <c r="Q384" s="820">
        <v>-3947.43</v>
      </c>
      <c r="R384" t="str">
        <f t="shared" si="6"/>
        <v>201703</v>
      </c>
      <c r="S384" s="405">
        <f>-Q384</f>
        <v>3947.43</v>
      </c>
    </row>
    <row r="385" spans="1:19">
      <c r="A385" s="821" t="s">
        <v>877</v>
      </c>
      <c r="B385" s="821" t="s">
        <v>878</v>
      </c>
      <c r="C385" s="821" t="s">
        <v>879</v>
      </c>
      <c r="D385" s="821" t="s">
        <v>880</v>
      </c>
      <c r="E385" s="821" t="s">
        <v>880</v>
      </c>
      <c r="F385" s="821" t="s">
        <v>881</v>
      </c>
      <c r="G385" s="821" t="s">
        <v>882</v>
      </c>
      <c r="H385" s="821" t="s">
        <v>883</v>
      </c>
      <c r="I385" s="821" t="s">
        <v>936</v>
      </c>
      <c r="J385" s="821" t="s">
        <v>885</v>
      </c>
      <c r="K385" s="821" t="s">
        <v>886</v>
      </c>
      <c r="L385" s="821" t="s">
        <v>936</v>
      </c>
      <c r="M385" s="821" t="s">
        <v>1105</v>
      </c>
      <c r="N385" s="821" t="s">
        <v>888</v>
      </c>
      <c r="O385" s="821" t="s">
        <v>886</v>
      </c>
      <c r="P385" s="533">
        <v>149973587</v>
      </c>
      <c r="Q385" s="794">
        <v>-1499735.87</v>
      </c>
      <c r="R385" t="str">
        <f t="shared" si="6"/>
        <v>201703</v>
      </c>
      <c r="S385" s="405">
        <f>-Q385</f>
        <v>1499735.87</v>
      </c>
    </row>
    <row r="386" spans="1:19">
      <c r="A386" s="821" t="s">
        <v>877</v>
      </c>
      <c r="B386" s="821" t="s">
        <v>878</v>
      </c>
      <c r="C386" s="821" t="s">
        <v>879</v>
      </c>
      <c r="D386" s="821" t="s">
        <v>880</v>
      </c>
      <c r="E386" s="821" t="s">
        <v>880</v>
      </c>
      <c r="F386" s="821" t="s">
        <v>881</v>
      </c>
      <c r="G386" s="821" t="s">
        <v>882</v>
      </c>
      <c r="H386" s="821" t="s">
        <v>883</v>
      </c>
      <c r="I386" s="821" t="s">
        <v>937</v>
      </c>
      <c r="J386" s="821" t="s">
        <v>885</v>
      </c>
      <c r="K386" s="821" t="s">
        <v>886</v>
      </c>
      <c r="L386" s="821" t="s">
        <v>937</v>
      </c>
      <c r="M386" s="821" t="s">
        <v>1105</v>
      </c>
      <c r="N386" s="821" t="s">
        <v>886</v>
      </c>
      <c r="O386" s="821" t="s">
        <v>886</v>
      </c>
      <c r="P386" s="533">
        <v>15000000</v>
      </c>
      <c r="Q386" s="794">
        <v>150000</v>
      </c>
      <c r="R386" t="str">
        <f t="shared" si="6"/>
        <v>201703</v>
      </c>
      <c r="S386" s="405">
        <f>Q386</f>
        <v>150000</v>
      </c>
    </row>
    <row r="387" spans="1:19">
      <c r="A387" s="821" t="s">
        <v>877</v>
      </c>
      <c r="B387" s="821" t="s">
        <v>878</v>
      </c>
      <c r="C387" s="821" t="s">
        <v>879</v>
      </c>
      <c r="D387" s="821" t="s">
        <v>880</v>
      </c>
      <c r="E387" s="821" t="s">
        <v>880</v>
      </c>
      <c r="F387" s="821" t="s">
        <v>881</v>
      </c>
      <c r="G387" s="821" t="s">
        <v>882</v>
      </c>
      <c r="H387" s="821" t="s">
        <v>883</v>
      </c>
      <c r="I387" s="821" t="s">
        <v>937</v>
      </c>
      <c r="J387" s="821" t="s">
        <v>885</v>
      </c>
      <c r="K387" s="821" t="s">
        <v>886</v>
      </c>
      <c r="L387" s="821" t="s">
        <v>937</v>
      </c>
      <c r="M387" s="821" t="s">
        <v>1105</v>
      </c>
      <c r="N387" s="821" t="s">
        <v>888</v>
      </c>
      <c r="O387" s="821" t="s">
        <v>886</v>
      </c>
      <c r="P387" s="533">
        <v>2330399</v>
      </c>
      <c r="Q387" s="820">
        <v>-23303.99</v>
      </c>
      <c r="R387" t="str">
        <f t="shared" ref="R387:R450" si="8">MID(L387,1,6)</f>
        <v>201703</v>
      </c>
      <c r="S387" s="405">
        <f>-Q387</f>
        <v>23303.99</v>
      </c>
    </row>
    <row r="388" spans="1:19">
      <c r="A388" s="821" t="s">
        <v>877</v>
      </c>
      <c r="B388" s="821" t="s">
        <v>878</v>
      </c>
      <c r="C388" s="821" t="s">
        <v>879</v>
      </c>
      <c r="D388" s="821" t="s">
        <v>880</v>
      </c>
      <c r="E388" s="821" t="s">
        <v>880</v>
      </c>
      <c r="F388" s="821" t="s">
        <v>881</v>
      </c>
      <c r="G388" s="821" t="s">
        <v>882</v>
      </c>
      <c r="H388" s="821" t="s">
        <v>883</v>
      </c>
      <c r="I388" s="821" t="s">
        <v>937</v>
      </c>
      <c r="J388" s="821" t="s">
        <v>885</v>
      </c>
      <c r="K388" s="821" t="s">
        <v>886</v>
      </c>
      <c r="L388" s="821" t="s">
        <v>937</v>
      </c>
      <c r="M388" s="821" t="s">
        <v>1105</v>
      </c>
      <c r="N388" s="821" t="s">
        <v>888</v>
      </c>
      <c r="O388" s="821" t="s">
        <v>886</v>
      </c>
      <c r="P388" s="533">
        <v>395823</v>
      </c>
      <c r="Q388" s="820">
        <v>-3958.23</v>
      </c>
      <c r="R388" t="str">
        <f t="shared" si="8"/>
        <v>201703</v>
      </c>
      <c r="S388" s="405">
        <f>-Q388</f>
        <v>3958.23</v>
      </c>
    </row>
    <row r="389" spans="1:19">
      <c r="A389" s="821" t="s">
        <v>877</v>
      </c>
      <c r="B389" s="821" t="s">
        <v>878</v>
      </c>
      <c r="C389" s="821" t="s">
        <v>879</v>
      </c>
      <c r="D389" s="821" t="s">
        <v>880</v>
      </c>
      <c r="E389" s="821" t="s">
        <v>880</v>
      </c>
      <c r="F389" s="821" t="s">
        <v>881</v>
      </c>
      <c r="G389" s="821" t="s">
        <v>882</v>
      </c>
      <c r="H389" s="821" t="s">
        <v>883</v>
      </c>
      <c r="I389" s="821" t="s">
        <v>938</v>
      </c>
      <c r="J389" s="821" t="s">
        <v>885</v>
      </c>
      <c r="K389" s="821" t="s">
        <v>886</v>
      </c>
      <c r="L389" s="821" t="s">
        <v>938</v>
      </c>
      <c r="M389" s="821" t="s">
        <v>1105</v>
      </c>
      <c r="N389" s="821" t="s">
        <v>886</v>
      </c>
      <c r="O389" s="821" t="s">
        <v>886</v>
      </c>
      <c r="P389" s="533">
        <v>2028030</v>
      </c>
      <c r="Q389" s="820">
        <v>20280.3</v>
      </c>
      <c r="R389" t="str">
        <f t="shared" si="8"/>
        <v>201703</v>
      </c>
      <c r="S389" s="405">
        <f>Q389</f>
        <v>20280.3</v>
      </c>
    </row>
    <row r="390" spans="1:19">
      <c r="A390" s="821" t="s">
        <v>877</v>
      </c>
      <c r="B390" s="821" t="s">
        <v>878</v>
      </c>
      <c r="C390" s="821" t="s">
        <v>879</v>
      </c>
      <c r="D390" s="821" t="s">
        <v>880</v>
      </c>
      <c r="E390" s="821" t="s">
        <v>880</v>
      </c>
      <c r="F390" s="821" t="s">
        <v>881</v>
      </c>
      <c r="G390" s="821" t="s">
        <v>882</v>
      </c>
      <c r="H390" s="821" t="s">
        <v>883</v>
      </c>
      <c r="I390" s="821" t="s">
        <v>939</v>
      </c>
      <c r="J390" s="821" t="s">
        <v>885</v>
      </c>
      <c r="K390" s="821" t="s">
        <v>886</v>
      </c>
      <c r="L390" s="821" t="s">
        <v>939</v>
      </c>
      <c r="M390" s="821" t="s">
        <v>1105</v>
      </c>
      <c r="N390" s="821" t="s">
        <v>888</v>
      </c>
      <c r="O390" s="821" t="s">
        <v>886</v>
      </c>
      <c r="P390" s="533">
        <v>3523659</v>
      </c>
      <c r="Q390" s="820">
        <v>-35236.589999999997</v>
      </c>
      <c r="R390" t="str">
        <f t="shared" si="8"/>
        <v>201703</v>
      </c>
      <c r="S390" s="405">
        <f>-Q390</f>
        <v>35236.589999999997</v>
      </c>
    </row>
    <row r="391" spans="1:19">
      <c r="A391" s="821" t="s">
        <v>877</v>
      </c>
      <c r="B391" s="821" t="s">
        <v>878</v>
      </c>
      <c r="C391" s="821" t="s">
        <v>879</v>
      </c>
      <c r="D391" s="821" t="s">
        <v>880</v>
      </c>
      <c r="E391" s="821" t="s">
        <v>880</v>
      </c>
      <c r="F391" s="821" t="s">
        <v>881</v>
      </c>
      <c r="G391" s="821" t="s">
        <v>882</v>
      </c>
      <c r="H391" s="821" t="s">
        <v>883</v>
      </c>
      <c r="I391" s="821" t="s">
        <v>939</v>
      </c>
      <c r="J391" s="821" t="s">
        <v>885</v>
      </c>
      <c r="K391" s="821" t="s">
        <v>886</v>
      </c>
      <c r="L391" s="821" t="s">
        <v>939</v>
      </c>
      <c r="M391" s="821" t="s">
        <v>1105</v>
      </c>
      <c r="N391" s="821" t="s">
        <v>888</v>
      </c>
      <c r="O391" s="821" t="s">
        <v>886</v>
      </c>
      <c r="P391" s="533">
        <v>49472750</v>
      </c>
      <c r="Q391" s="794">
        <v>-494727.5</v>
      </c>
      <c r="R391" t="str">
        <f t="shared" si="8"/>
        <v>201703</v>
      </c>
      <c r="S391" s="405">
        <f>-Q391</f>
        <v>494727.5</v>
      </c>
    </row>
    <row r="392" spans="1:19">
      <c r="A392" s="821" t="s">
        <v>877</v>
      </c>
      <c r="B392" s="821" t="s">
        <v>878</v>
      </c>
      <c r="C392" s="821" t="s">
        <v>879</v>
      </c>
      <c r="D392" s="821" t="s">
        <v>880</v>
      </c>
      <c r="E392" s="821" t="s">
        <v>880</v>
      </c>
      <c r="F392" s="821" t="s">
        <v>881</v>
      </c>
      <c r="G392" s="821" t="s">
        <v>882</v>
      </c>
      <c r="H392" s="821" t="s">
        <v>883</v>
      </c>
      <c r="I392" s="821" t="s">
        <v>940</v>
      </c>
      <c r="J392" s="821" t="s">
        <v>885</v>
      </c>
      <c r="K392" s="821" t="s">
        <v>886</v>
      </c>
      <c r="L392" s="821" t="s">
        <v>940</v>
      </c>
      <c r="M392" s="821" t="s">
        <v>1105</v>
      </c>
      <c r="N392" s="821" t="s">
        <v>886</v>
      </c>
      <c r="O392" s="821" t="s">
        <v>886</v>
      </c>
      <c r="P392" s="533">
        <v>200000000</v>
      </c>
      <c r="Q392" s="794">
        <v>2000000</v>
      </c>
      <c r="R392" t="str">
        <f t="shared" si="8"/>
        <v>201703</v>
      </c>
      <c r="S392" s="405">
        <f>Q392</f>
        <v>2000000</v>
      </c>
    </row>
    <row r="393" spans="1:19">
      <c r="A393" s="821" t="s">
        <v>877</v>
      </c>
      <c r="B393" s="821" t="s">
        <v>878</v>
      </c>
      <c r="C393" s="821" t="s">
        <v>879</v>
      </c>
      <c r="D393" s="821" t="s">
        <v>880</v>
      </c>
      <c r="E393" s="821" t="s">
        <v>880</v>
      </c>
      <c r="F393" s="821" t="s">
        <v>881</v>
      </c>
      <c r="G393" s="821" t="s">
        <v>882</v>
      </c>
      <c r="H393" s="821" t="s">
        <v>883</v>
      </c>
      <c r="I393" s="821" t="s">
        <v>940</v>
      </c>
      <c r="J393" s="821" t="s">
        <v>885</v>
      </c>
      <c r="K393" s="821" t="s">
        <v>886</v>
      </c>
      <c r="L393" s="821" t="s">
        <v>940</v>
      </c>
      <c r="M393" s="821" t="s">
        <v>1105</v>
      </c>
      <c r="N393" s="821" t="s">
        <v>888</v>
      </c>
      <c r="O393" s="821" t="s">
        <v>886</v>
      </c>
      <c r="P393" s="533">
        <v>850629</v>
      </c>
      <c r="Q393" s="820">
        <v>-8506.2900000000009</v>
      </c>
      <c r="R393" t="str">
        <f t="shared" si="8"/>
        <v>201703</v>
      </c>
      <c r="S393" s="405">
        <f>-Q393</f>
        <v>8506.2900000000009</v>
      </c>
    </row>
    <row r="394" spans="1:19">
      <c r="A394" s="821" t="s">
        <v>877</v>
      </c>
      <c r="B394" s="821" t="s">
        <v>878</v>
      </c>
      <c r="C394" s="821" t="s">
        <v>879</v>
      </c>
      <c r="D394" s="821" t="s">
        <v>880</v>
      </c>
      <c r="E394" s="821" t="s">
        <v>880</v>
      </c>
      <c r="F394" s="821" t="s">
        <v>881</v>
      </c>
      <c r="G394" s="821" t="s">
        <v>882</v>
      </c>
      <c r="H394" s="821" t="s">
        <v>883</v>
      </c>
      <c r="I394" s="821" t="s">
        <v>940</v>
      </c>
      <c r="J394" s="821" t="s">
        <v>885</v>
      </c>
      <c r="K394" s="821" t="s">
        <v>886</v>
      </c>
      <c r="L394" s="821" t="s">
        <v>940</v>
      </c>
      <c r="M394" s="821" t="s">
        <v>1105</v>
      </c>
      <c r="N394" s="821" t="s">
        <v>888</v>
      </c>
      <c r="O394" s="821" t="s">
        <v>886</v>
      </c>
      <c r="P394" s="533">
        <v>75000000</v>
      </c>
      <c r="Q394" s="794">
        <v>-750000</v>
      </c>
      <c r="R394" t="str">
        <f t="shared" si="8"/>
        <v>201703</v>
      </c>
      <c r="S394" s="405">
        <f>-Q394</f>
        <v>750000</v>
      </c>
    </row>
    <row r="395" spans="1:19">
      <c r="A395" s="821" t="s">
        <v>877</v>
      </c>
      <c r="B395" s="821" t="s">
        <v>878</v>
      </c>
      <c r="C395" s="821" t="s">
        <v>879</v>
      </c>
      <c r="D395" s="821" t="s">
        <v>880</v>
      </c>
      <c r="E395" s="821" t="s">
        <v>880</v>
      </c>
      <c r="F395" s="821" t="s">
        <v>881</v>
      </c>
      <c r="G395" s="821" t="s">
        <v>882</v>
      </c>
      <c r="H395" s="821" t="s">
        <v>883</v>
      </c>
      <c r="I395" s="821" t="s">
        <v>941</v>
      </c>
      <c r="J395" s="821" t="s">
        <v>885</v>
      </c>
      <c r="K395" s="821" t="s">
        <v>886</v>
      </c>
      <c r="L395" s="821" t="s">
        <v>941</v>
      </c>
      <c r="M395" s="821" t="s">
        <v>1105</v>
      </c>
      <c r="N395" s="821" t="s">
        <v>886</v>
      </c>
      <c r="O395" s="821" t="s">
        <v>886</v>
      </c>
      <c r="P395" s="533">
        <v>2897671</v>
      </c>
      <c r="Q395" s="820">
        <v>28976.71</v>
      </c>
      <c r="R395" t="str">
        <f t="shared" si="8"/>
        <v>201704</v>
      </c>
      <c r="S395" s="405">
        <f>Q395</f>
        <v>28976.71</v>
      </c>
    </row>
    <row r="396" spans="1:19">
      <c r="A396" s="821" t="s">
        <v>877</v>
      </c>
      <c r="B396" s="821" t="s">
        <v>878</v>
      </c>
      <c r="C396" s="821" t="s">
        <v>879</v>
      </c>
      <c r="D396" s="821" t="s">
        <v>880</v>
      </c>
      <c r="E396" s="821" t="s">
        <v>880</v>
      </c>
      <c r="F396" s="821" t="s">
        <v>881</v>
      </c>
      <c r="G396" s="821" t="s">
        <v>882</v>
      </c>
      <c r="H396" s="821" t="s">
        <v>883</v>
      </c>
      <c r="I396" s="821" t="s">
        <v>942</v>
      </c>
      <c r="J396" s="821" t="s">
        <v>885</v>
      </c>
      <c r="K396" s="821" t="s">
        <v>886</v>
      </c>
      <c r="L396" s="821" t="s">
        <v>942</v>
      </c>
      <c r="M396" s="821" t="s">
        <v>1105</v>
      </c>
      <c r="N396" s="821" t="s">
        <v>886</v>
      </c>
      <c r="O396" s="821" t="s">
        <v>886</v>
      </c>
      <c r="P396" s="533">
        <v>105455</v>
      </c>
      <c r="Q396" s="820">
        <v>1054.55</v>
      </c>
      <c r="R396" t="str">
        <f t="shared" si="8"/>
        <v>201704</v>
      </c>
      <c r="S396" s="405">
        <f>Q396</f>
        <v>1054.55</v>
      </c>
    </row>
    <row r="397" spans="1:19">
      <c r="A397" s="821" t="s">
        <v>877</v>
      </c>
      <c r="B397" s="821" t="s">
        <v>878</v>
      </c>
      <c r="C397" s="821" t="s">
        <v>879</v>
      </c>
      <c r="D397" s="821" t="s">
        <v>880</v>
      </c>
      <c r="E397" s="821" t="s">
        <v>880</v>
      </c>
      <c r="F397" s="821" t="s">
        <v>881</v>
      </c>
      <c r="G397" s="821" t="s">
        <v>882</v>
      </c>
      <c r="H397" s="821" t="s">
        <v>883</v>
      </c>
      <c r="I397" s="821" t="s">
        <v>943</v>
      </c>
      <c r="J397" s="821" t="s">
        <v>885</v>
      </c>
      <c r="K397" s="821" t="s">
        <v>886</v>
      </c>
      <c r="L397" s="821" t="s">
        <v>943</v>
      </c>
      <c r="M397" s="821" t="s">
        <v>1105</v>
      </c>
      <c r="N397" s="821" t="s">
        <v>886</v>
      </c>
      <c r="O397" s="821" t="s">
        <v>886</v>
      </c>
      <c r="P397" s="533">
        <v>412964</v>
      </c>
      <c r="Q397" s="820">
        <v>4129.6400000000003</v>
      </c>
      <c r="R397" t="str">
        <f t="shared" si="8"/>
        <v>201704</v>
      </c>
      <c r="S397" s="405">
        <f>Q397</f>
        <v>4129.6400000000003</v>
      </c>
    </row>
    <row r="398" spans="1:19">
      <c r="A398" s="821" t="s">
        <v>877</v>
      </c>
      <c r="B398" s="821" t="s">
        <v>878</v>
      </c>
      <c r="C398" s="821" t="s">
        <v>879</v>
      </c>
      <c r="D398" s="821" t="s">
        <v>880</v>
      </c>
      <c r="E398" s="821" t="s">
        <v>880</v>
      </c>
      <c r="F398" s="821" t="s">
        <v>881</v>
      </c>
      <c r="G398" s="821" t="s">
        <v>882</v>
      </c>
      <c r="H398" s="821" t="s">
        <v>883</v>
      </c>
      <c r="I398" s="821" t="s">
        <v>943</v>
      </c>
      <c r="J398" s="821" t="s">
        <v>885</v>
      </c>
      <c r="K398" s="821" t="s">
        <v>886</v>
      </c>
      <c r="L398" s="821" t="s">
        <v>943</v>
      </c>
      <c r="M398" s="821" t="s">
        <v>1105</v>
      </c>
      <c r="N398" s="821" t="s">
        <v>888</v>
      </c>
      <c r="O398" s="821" t="s">
        <v>886</v>
      </c>
      <c r="P398" s="533">
        <v>100402824</v>
      </c>
      <c r="Q398" s="823"/>
      <c r="R398" t="str">
        <f t="shared" si="8"/>
        <v>201704</v>
      </c>
      <c r="S398" s="405">
        <f>-Q398</f>
        <v>0</v>
      </c>
    </row>
    <row r="399" spans="1:19">
      <c r="A399" s="821" t="s">
        <v>877</v>
      </c>
      <c r="B399" s="821" t="s">
        <v>878</v>
      </c>
      <c r="C399" s="821" t="s">
        <v>879</v>
      </c>
      <c r="D399" s="821" t="s">
        <v>880</v>
      </c>
      <c r="E399" s="821" t="s">
        <v>880</v>
      </c>
      <c r="F399" s="821" t="s">
        <v>881</v>
      </c>
      <c r="G399" s="821" t="s">
        <v>882</v>
      </c>
      <c r="H399" s="821" t="s">
        <v>883</v>
      </c>
      <c r="I399" s="821" t="s">
        <v>944</v>
      </c>
      <c r="J399" s="821" t="s">
        <v>885</v>
      </c>
      <c r="K399" s="821" t="s">
        <v>886</v>
      </c>
      <c r="L399" s="821" t="s">
        <v>944</v>
      </c>
      <c r="M399" s="821" t="s">
        <v>1105</v>
      </c>
      <c r="N399" s="821" t="s">
        <v>886</v>
      </c>
      <c r="O399" s="821" t="s">
        <v>886</v>
      </c>
      <c r="P399" s="533">
        <v>1119471</v>
      </c>
      <c r="Q399" s="820">
        <v>11194.71</v>
      </c>
      <c r="R399" t="str">
        <f t="shared" si="8"/>
        <v>201704</v>
      </c>
      <c r="S399" s="405">
        <f>Q399</f>
        <v>11194.71</v>
      </c>
    </row>
    <row r="400" spans="1:19">
      <c r="A400" s="821" t="s">
        <v>877</v>
      </c>
      <c r="B400" s="821" t="s">
        <v>878</v>
      </c>
      <c r="C400" s="821" t="s">
        <v>879</v>
      </c>
      <c r="D400" s="821" t="s">
        <v>880</v>
      </c>
      <c r="E400" s="821" t="s">
        <v>880</v>
      </c>
      <c r="F400" s="821" t="s">
        <v>881</v>
      </c>
      <c r="G400" s="821" t="s">
        <v>882</v>
      </c>
      <c r="H400" s="821" t="s">
        <v>883</v>
      </c>
      <c r="I400" s="821" t="s">
        <v>944</v>
      </c>
      <c r="J400" s="821" t="s">
        <v>885</v>
      </c>
      <c r="K400" s="821" t="s">
        <v>886</v>
      </c>
      <c r="L400" s="821" t="s">
        <v>944</v>
      </c>
      <c r="M400" s="821" t="s">
        <v>1105</v>
      </c>
      <c r="N400" s="821" t="s">
        <v>886</v>
      </c>
      <c r="O400" s="821" t="s">
        <v>886</v>
      </c>
      <c r="P400" s="533">
        <v>15000000</v>
      </c>
      <c r="Q400" s="794">
        <v>150000</v>
      </c>
      <c r="R400" t="str">
        <f t="shared" si="8"/>
        <v>201704</v>
      </c>
      <c r="S400" s="405">
        <f>Q400</f>
        <v>150000</v>
      </c>
    </row>
    <row r="401" spans="1:19">
      <c r="A401" s="821" t="s">
        <v>877</v>
      </c>
      <c r="B401" s="821" t="s">
        <v>878</v>
      </c>
      <c r="C401" s="821" t="s">
        <v>879</v>
      </c>
      <c r="D401" s="821" t="s">
        <v>880</v>
      </c>
      <c r="E401" s="821" t="s">
        <v>880</v>
      </c>
      <c r="F401" s="821" t="s">
        <v>881</v>
      </c>
      <c r="G401" s="821" t="s">
        <v>882</v>
      </c>
      <c r="H401" s="821" t="s">
        <v>883</v>
      </c>
      <c r="I401" s="821" t="s">
        <v>944</v>
      </c>
      <c r="J401" s="821" t="s">
        <v>885</v>
      </c>
      <c r="K401" s="821" t="s">
        <v>886</v>
      </c>
      <c r="L401" s="821" t="s">
        <v>944</v>
      </c>
      <c r="M401" s="821" t="s">
        <v>1105</v>
      </c>
      <c r="N401" s="821" t="s">
        <v>886</v>
      </c>
      <c r="O401" s="821" t="s">
        <v>886</v>
      </c>
      <c r="P401" s="533">
        <v>100402824</v>
      </c>
      <c r="Q401" s="823"/>
      <c r="R401" t="str">
        <f t="shared" si="8"/>
        <v>201704</v>
      </c>
      <c r="S401" s="405">
        <f>Q401</f>
        <v>0</v>
      </c>
    </row>
    <row r="402" spans="1:19">
      <c r="A402" s="821" t="s">
        <v>877</v>
      </c>
      <c r="B402" s="821" t="s">
        <v>878</v>
      </c>
      <c r="C402" s="821" t="s">
        <v>879</v>
      </c>
      <c r="D402" s="821" t="s">
        <v>880</v>
      </c>
      <c r="E402" s="821" t="s">
        <v>880</v>
      </c>
      <c r="F402" s="821" t="s">
        <v>881</v>
      </c>
      <c r="G402" s="821" t="s">
        <v>882</v>
      </c>
      <c r="H402" s="821" t="s">
        <v>883</v>
      </c>
      <c r="I402" s="821" t="s">
        <v>944</v>
      </c>
      <c r="J402" s="821" t="s">
        <v>885</v>
      </c>
      <c r="K402" s="821" t="s">
        <v>886</v>
      </c>
      <c r="L402" s="821" t="s">
        <v>944</v>
      </c>
      <c r="M402" s="821" t="s">
        <v>1105</v>
      </c>
      <c r="N402" s="821" t="s">
        <v>886</v>
      </c>
      <c r="O402" s="821" t="s">
        <v>886</v>
      </c>
      <c r="P402" s="533">
        <v>18500000</v>
      </c>
      <c r="Q402" s="794">
        <v>185000</v>
      </c>
      <c r="R402" t="str">
        <f t="shared" si="8"/>
        <v>201704</v>
      </c>
      <c r="S402" s="405">
        <f>Q402</f>
        <v>185000</v>
      </c>
    </row>
    <row r="403" spans="1:19">
      <c r="A403" s="821" t="s">
        <v>877</v>
      </c>
      <c r="B403" s="821" t="s">
        <v>878</v>
      </c>
      <c r="C403" s="821" t="s">
        <v>879</v>
      </c>
      <c r="D403" s="821" t="s">
        <v>880</v>
      </c>
      <c r="E403" s="821" t="s">
        <v>880</v>
      </c>
      <c r="F403" s="821" t="s">
        <v>881</v>
      </c>
      <c r="G403" s="821" t="s">
        <v>882</v>
      </c>
      <c r="H403" s="821" t="s">
        <v>883</v>
      </c>
      <c r="I403" s="821" t="s">
        <v>945</v>
      </c>
      <c r="J403" s="821" t="s">
        <v>885</v>
      </c>
      <c r="K403" s="821" t="s">
        <v>886</v>
      </c>
      <c r="L403" s="821" t="s">
        <v>945</v>
      </c>
      <c r="M403" s="821" t="s">
        <v>1105</v>
      </c>
      <c r="N403" s="821" t="s">
        <v>888</v>
      </c>
      <c r="O403" s="821" t="s">
        <v>886</v>
      </c>
      <c r="P403" s="533">
        <v>2674370</v>
      </c>
      <c r="Q403" s="820">
        <v>-26743.7</v>
      </c>
      <c r="R403" t="str">
        <f t="shared" si="8"/>
        <v>201704</v>
      </c>
      <c r="S403" s="405">
        <f>-Q403</f>
        <v>26743.7</v>
      </c>
    </row>
    <row r="404" spans="1:19">
      <c r="A404" s="821" t="s">
        <v>877</v>
      </c>
      <c r="B404" s="821" t="s">
        <v>878</v>
      </c>
      <c r="C404" s="821" t="s">
        <v>879</v>
      </c>
      <c r="D404" s="821" t="s">
        <v>880</v>
      </c>
      <c r="E404" s="821" t="s">
        <v>880</v>
      </c>
      <c r="F404" s="821" t="s">
        <v>881</v>
      </c>
      <c r="G404" s="821" t="s">
        <v>882</v>
      </c>
      <c r="H404" s="821" t="s">
        <v>883</v>
      </c>
      <c r="I404" s="821" t="s">
        <v>946</v>
      </c>
      <c r="J404" s="821" t="s">
        <v>885</v>
      </c>
      <c r="K404" s="821" t="s">
        <v>886</v>
      </c>
      <c r="L404" s="821" t="s">
        <v>946</v>
      </c>
      <c r="M404" s="821" t="s">
        <v>1105</v>
      </c>
      <c r="N404" s="821" t="s">
        <v>886</v>
      </c>
      <c r="O404" s="821" t="s">
        <v>886</v>
      </c>
      <c r="P404" s="533">
        <v>150000000</v>
      </c>
      <c r="Q404" s="794">
        <v>1500000</v>
      </c>
      <c r="R404" t="str">
        <f t="shared" si="8"/>
        <v>201704</v>
      </c>
      <c r="S404" s="405">
        <f>Q404</f>
        <v>1500000</v>
      </c>
    </row>
    <row r="405" spans="1:19">
      <c r="A405" s="821" t="s">
        <v>877</v>
      </c>
      <c r="B405" s="821" t="s">
        <v>878</v>
      </c>
      <c r="C405" s="821" t="s">
        <v>879</v>
      </c>
      <c r="D405" s="821" t="s">
        <v>880</v>
      </c>
      <c r="E405" s="821" t="s">
        <v>880</v>
      </c>
      <c r="F405" s="821" t="s">
        <v>881</v>
      </c>
      <c r="G405" s="821" t="s">
        <v>882</v>
      </c>
      <c r="H405" s="821" t="s">
        <v>883</v>
      </c>
      <c r="I405" s="821" t="s">
        <v>946</v>
      </c>
      <c r="J405" s="821" t="s">
        <v>885</v>
      </c>
      <c r="K405" s="821" t="s">
        <v>886</v>
      </c>
      <c r="L405" s="821" t="s">
        <v>946</v>
      </c>
      <c r="M405" s="821" t="s">
        <v>1105</v>
      </c>
      <c r="N405" s="821" t="s">
        <v>888</v>
      </c>
      <c r="O405" s="821" t="s">
        <v>886</v>
      </c>
      <c r="P405" s="533">
        <v>8555</v>
      </c>
      <c r="Q405" s="820">
        <v>-85.55</v>
      </c>
      <c r="R405" t="str">
        <f t="shared" si="8"/>
        <v>201704</v>
      </c>
      <c r="S405" s="405">
        <f>-Q405</f>
        <v>85.55</v>
      </c>
    </row>
    <row r="406" spans="1:19">
      <c r="A406" s="821" t="s">
        <v>877</v>
      </c>
      <c r="B406" s="821" t="s">
        <v>878</v>
      </c>
      <c r="C406" s="821" t="s">
        <v>879</v>
      </c>
      <c r="D406" s="821" t="s">
        <v>880</v>
      </c>
      <c r="E406" s="821" t="s">
        <v>880</v>
      </c>
      <c r="F406" s="821" t="s">
        <v>881</v>
      </c>
      <c r="G406" s="821" t="s">
        <v>882</v>
      </c>
      <c r="H406" s="821" t="s">
        <v>883</v>
      </c>
      <c r="I406" s="821" t="s">
        <v>1106</v>
      </c>
      <c r="J406" s="821" t="s">
        <v>885</v>
      </c>
      <c r="K406" s="821" t="s">
        <v>886</v>
      </c>
      <c r="L406" s="821" t="s">
        <v>1106</v>
      </c>
      <c r="M406" s="821" t="s">
        <v>1105</v>
      </c>
      <c r="N406" s="821" t="s">
        <v>886</v>
      </c>
      <c r="O406" s="821" t="s">
        <v>886</v>
      </c>
      <c r="P406" s="533">
        <v>2600141</v>
      </c>
      <c r="Q406" s="820">
        <v>26001.41</v>
      </c>
      <c r="R406" t="str">
        <f t="shared" si="8"/>
        <v>201704</v>
      </c>
      <c r="S406" s="405">
        <f>Q406</f>
        <v>26001.41</v>
      </c>
    </row>
    <row r="407" spans="1:19">
      <c r="A407" s="821" t="s">
        <v>877</v>
      </c>
      <c r="B407" s="821" t="s">
        <v>878</v>
      </c>
      <c r="C407" s="821" t="s">
        <v>879</v>
      </c>
      <c r="D407" s="821" t="s">
        <v>880</v>
      </c>
      <c r="E407" s="821" t="s">
        <v>880</v>
      </c>
      <c r="F407" s="821" t="s">
        <v>881</v>
      </c>
      <c r="G407" s="821" t="s">
        <v>882</v>
      </c>
      <c r="H407" s="821" t="s">
        <v>883</v>
      </c>
      <c r="I407" s="821" t="s">
        <v>947</v>
      </c>
      <c r="J407" s="821" t="s">
        <v>885</v>
      </c>
      <c r="K407" s="821" t="s">
        <v>886</v>
      </c>
      <c r="L407" s="821" t="s">
        <v>947</v>
      </c>
      <c r="M407" s="821" t="s">
        <v>1105</v>
      </c>
      <c r="N407" s="821" t="s">
        <v>886</v>
      </c>
      <c r="O407" s="821" t="s">
        <v>886</v>
      </c>
      <c r="P407" s="533">
        <v>6684686</v>
      </c>
      <c r="Q407" s="823"/>
      <c r="R407" t="str">
        <f t="shared" si="8"/>
        <v>201704</v>
      </c>
      <c r="S407" s="405">
        <f>Q407</f>
        <v>0</v>
      </c>
    </row>
    <row r="408" spans="1:19">
      <c r="A408" s="821" t="s">
        <v>877</v>
      </c>
      <c r="B408" s="821" t="s">
        <v>878</v>
      </c>
      <c r="C408" s="821" t="s">
        <v>879</v>
      </c>
      <c r="D408" s="821" t="s">
        <v>880</v>
      </c>
      <c r="E408" s="821" t="s">
        <v>880</v>
      </c>
      <c r="F408" s="821" t="s">
        <v>881</v>
      </c>
      <c r="G408" s="821" t="s">
        <v>882</v>
      </c>
      <c r="H408" s="821" t="s">
        <v>883</v>
      </c>
      <c r="I408" s="821" t="s">
        <v>947</v>
      </c>
      <c r="J408" s="821" t="s">
        <v>885</v>
      </c>
      <c r="K408" s="821" t="s">
        <v>886</v>
      </c>
      <c r="L408" s="821" t="s">
        <v>947</v>
      </c>
      <c r="M408" s="821" t="s">
        <v>1105</v>
      </c>
      <c r="N408" s="821" t="s">
        <v>888</v>
      </c>
      <c r="O408" s="821" t="s">
        <v>886</v>
      </c>
      <c r="P408" s="533">
        <v>30156644</v>
      </c>
      <c r="Q408" s="794">
        <v>-301566.44</v>
      </c>
      <c r="R408" t="str">
        <f t="shared" si="8"/>
        <v>201704</v>
      </c>
      <c r="S408" s="405">
        <f>-Q408</f>
        <v>301566.44</v>
      </c>
    </row>
    <row r="409" spans="1:19">
      <c r="A409" s="821" t="s">
        <v>877</v>
      </c>
      <c r="B409" s="821" t="s">
        <v>878</v>
      </c>
      <c r="C409" s="821" t="s">
        <v>879</v>
      </c>
      <c r="D409" s="821" t="s">
        <v>880</v>
      </c>
      <c r="E409" s="821" t="s">
        <v>880</v>
      </c>
      <c r="F409" s="821" t="s">
        <v>881</v>
      </c>
      <c r="G409" s="821" t="s">
        <v>882</v>
      </c>
      <c r="H409" s="821" t="s">
        <v>883</v>
      </c>
      <c r="I409" s="821" t="s">
        <v>948</v>
      </c>
      <c r="J409" s="821" t="s">
        <v>885</v>
      </c>
      <c r="K409" s="821" t="s">
        <v>886</v>
      </c>
      <c r="L409" s="821" t="s">
        <v>948</v>
      </c>
      <c r="M409" s="821" t="s">
        <v>1105</v>
      </c>
      <c r="N409" s="821" t="s">
        <v>886</v>
      </c>
      <c r="O409" s="821" t="s">
        <v>886</v>
      </c>
      <c r="P409" s="533">
        <v>5491079</v>
      </c>
      <c r="Q409" s="820">
        <v>54910.79</v>
      </c>
      <c r="R409" t="str">
        <f t="shared" si="8"/>
        <v>201704</v>
      </c>
      <c r="S409" s="405">
        <f>Q409</f>
        <v>54910.79</v>
      </c>
    </row>
    <row r="410" spans="1:19">
      <c r="A410" s="821" t="s">
        <v>877</v>
      </c>
      <c r="B410" s="821" t="s">
        <v>878</v>
      </c>
      <c r="C410" s="821" t="s">
        <v>879</v>
      </c>
      <c r="D410" s="821" t="s">
        <v>880</v>
      </c>
      <c r="E410" s="821" t="s">
        <v>880</v>
      </c>
      <c r="F410" s="821" t="s">
        <v>881</v>
      </c>
      <c r="G410" s="821" t="s">
        <v>882</v>
      </c>
      <c r="H410" s="821" t="s">
        <v>883</v>
      </c>
      <c r="I410" s="821" t="s">
        <v>948</v>
      </c>
      <c r="J410" s="821" t="s">
        <v>885</v>
      </c>
      <c r="K410" s="821" t="s">
        <v>886</v>
      </c>
      <c r="L410" s="821" t="s">
        <v>948</v>
      </c>
      <c r="M410" s="821" t="s">
        <v>1105</v>
      </c>
      <c r="N410" s="821" t="s">
        <v>886</v>
      </c>
      <c r="O410" s="821" t="s">
        <v>886</v>
      </c>
      <c r="P410" s="533">
        <v>634501</v>
      </c>
      <c r="Q410" s="820">
        <v>6345.01</v>
      </c>
      <c r="R410" t="str">
        <f t="shared" si="8"/>
        <v>201704</v>
      </c>
      <c r="S410" s="405">
        <f>Q410</f>
        <v>6345.01</v>
      </c>
    </row>
    <row r="411" spans="1:19">
      <c r="A411" s="821" t="s">
        <v>877</v>
      </c>
      <c r="B411" s="821" t="s">
        <v>878</v>
      </c>
      <c r="C411" s="821" t="s">
        <v>879</v>
      </c>
      <c r="D411" s="821" t="s">
        <v>880</v>
      </c>
      <c r="E411" s="821" t="s">
        <v>880</v>
      </c>
      <c r="F411" s="821" t="s">
        <v>881</v>
      </c>
      <c r="G411" s="821" t="s">
        <v>882</v>
      </c>
      <c r="H411" s="821" t="s">
        <v>883</v>
      </c>
      <c r="I411" s="821" t="s">
        <v>948</v>
      </c>
      <c r="J411" s="821" t="s">
        <v>885</v>
      </c>
      <c r="K411" s="821" t="s">
        <v>886</v>
      </c>
      <c r="L411" s="821" t="s">
        <v>948</v>
      </c>
      <c r="M411" s="821" t="s">
        <v>1105</v>
      </c>
      <c r="N411" s="821" t="s">
        <v>888</v>
      </c>
      <c r="O411" s="821" t="s">
        <v>886</v>
      </c>
      <c r="P411" s="533">
        <v>6684686</v>
      </c>
      <c r="Q411" s="823"/>
      <c r="R411" t="str">
        <f t="shared" si="8"/>
        <v>201704</v>
      </c>
      <c r="S411" s="405">
        <f>-Q411</f>
        <v>0</v>
      </c>
    </row>
    <row r="412" spans="1:19">
      <c r="A412" s="821" t="s">
        <v>877</v>
      </c>
      <c r="B412" s="821" t="s">
        <v>878</v>
      </c>
      <c r="C412" s="821" t="s">
        <v>879</v>
      </c>
      <c r="D412" s="821" t="s">
        <v>880</v>
      </c>
      <c r="E412" s="821" t="s">
        <v>880</v>
      </c>
      <c r="F412" s="821" t="s">
        <v>881</v>
      </c>
      <c r="G412" s="821" t="s">
        <v>882</v>
      </c>
      <c r="H412" s="821" t="s">
        <v>883</v>
      </c>
      <c r="I412" s="821" t="s">
        <v>948</v>
      </c>
      <c r="J412" s="821" t="s">
        <v>885</v>
      </c>
      <c r="K412" s="821" t="s">
        <v>886</v>
      </c>
      <c r="L412" s="821" t="s">
        <v>948</v>
      </c>
      <c r="M412" s="821" t="s">
        <v>1105</v>
      </c>
      <c r="N412" s="821" t="s">
        <v>888</v>
      </c>
      <c r="O412" s="821" t="s">
        <v>886</v>
      </c>
      <c r="P412" s="533">
        <v>6684686</v>
      </c>
      <c r="Q412" s="820">
        <v>-66846.86</v>
      </c>
      <c r="R412" t="str">
        <f t="shared" si="8"/>
        <v>201704</v>
      </c>
      <c r="S412" s="405">
        <f>-Q412</f>
        <v>66846.86</v>
      </c>
    </row>
    <row r="413" spans="1:19">
      <c r="A413" s="821" t="s">
        <v>877</v>
      </c>
      <c r="B413" s="821" t="s">
        <v>878</v>
      </c>
      <c r="C413" s="821" t="s">
        <v>879</v>
      </c>
      <c r="D413" s="821" t="s">
        <v>880</v>
      </c>
      <c r="E413" s="821" t="s">
        <v>880</v>
      </c>
      <c r="F413" s="821" t="s">
        <v>881</v>
      </c>
      <c r="G413" s="821" t="s">
        <v>882</v>
      </c>
      <c r="H413" s="821" t="s">
        <v>883</v>
      </c>
      <c r="I413" s="821" t="s">
        <v>949</v>
      </c>
      <c r="J413" s="821" t="s">
        <v>885</v>
      </c>
      <c r="K413" s="821" t="s">
        <v>886</v>
      </c>
      <c r="L413" s="821" t="s">
        <v>949</v>
      </c>
      <c r="M413" s="821" t="s">
        <v>1105</v>
      </c>
      <c r="N413" s="821" t="s">
        <v>886</v>
      </c>
      <c r="O413" s="821" t="s">
        <v>886</v>
      </c>
      <c r="P413" s="533">
        <v>4107018</v>
      </c>
      <c r="Q413" s="820">
        <v>41070.18</v>
      </c>
      <c r="R413" t="str">
        <f t="shared" si="8"/>
        <v>201704</v>
      </c>
      <c r="S413" s="405">
        <f>Q413</f>
        <v>41070.18</v>
      </c>
    </row>
    <row r="414" spans="1:19">
      <c r="A414" s="821" t="s">
        <v>877</v>
      </c>
      <c r="B414" s="821" t="s">
        <v>878</v>
      </c>
      <c r="C414" s="821" t="s">
        <v>879</v>
      </c>
      <c r="D414" s="821" t="s">
        <v>880</v>
      </c>
      <c r="E414" s="821" t="s">
        <v>880</v>
      </c>
      <c r="F414" s="821" t="s">
        <v>881</v>
      </c>
      <c r="G414" s="821" t="s">
        <v>882</v>
      </c>
      <c r="H414" s="821" t="s">
        <v>883</v>
      </c>
      <c r="I414" s="821" t="s">
        <v>949</v>
      </c>
      <c r="J414" s="821" t="s">
        <v>885</v>
      </c>
      <c r="K414" s="821" t="s">
        <v>886</v>
      </c>
      <c r="L414" s="821" t="s">
        <v>949</v>
      </c>
      <c r="M414" s="821" t="s">
        <v>1105</v>
      </c>
      <c r="N414" s="821" t="s">
        <v>888</v>
      </c>
      <c r="O414" s="821" t="s">
        <v>886</v>
      </c>
      <c r="P414" s="533">
        <v>5624645</v>
      </c>
      <c r="Q414" s="820">
        <v>-56246.45</v>
      </c>
      <c r="R414" t="str">
        <f t="shared" si="8"/>
        <v>201704</v>
      </c>
      <c r="S414" s="405">
        <f>-Q414</f>
        <v>56246.45</v>
      </c>
    </row>
    <row r="415" spans="1:19">
      <c r="A415" s="821" t="s">
        <v>877</v>
      </c>
      <c r="B415" s="821" t="s">
        <v>878</v>
      </c>
      <c r="C415" s="821" t="s">
        <v>879</v>
      </c>
      <c r="D415" s="821" t="s">
        <v>880</v>
      </c>
      <c r="E415" s="821" t="s">
        <v>880</v>
      </c>
      <c r="F415" s="821" t="s">
        <v>881</v>
      </c>
      <c r="G415" s="821" t="s">
        <v>882</v>
      </c>
      <c r="H415" s="821" t="s">
        <v>883</v>
      </c>
      <c r="I415" s="821" t="s">
        <v>950</v>
      </c>
      <c r="J415" s="821" t="s">
        <v>885</v>
      </c>
      <c r="K415" s="821" t="s">
        <v>886</v>
      </c>
      <c r="L415" s="821" t="s">
        <v>950</v>
      </c>
      <c r="M415" s="821" t="s">
        <v>1105</v>
      </c>
      <c r="N415" s="821" t="s">
        <v>888</v>
      </c>
      <c r="O415" s="821" t="s">
        <v>886</v>
      </c>
      <c r="P415" s="533">
        <v>2099330</v>
      </c>
      <c r="Q415" s="820">
        <v>-20993.3</v>
      </c>
      <c r="R415" t="str">
        <f t="shared" si="8"/>
        <v>201704</v>
      </c>
      <c r="S415" s="405">
        <f>-Q415</f>
        <v>20993.3</v>
      </c>
    </row>
    <row r="416" spans="1:19">
      <c r="A416" s="821" t="s">
        <v>877</v>
      </c>
      <c r="B416" s="821" t="s">
        <v>878</v>
      </c>
      <c r="C416" s="821" t="s">
        <v>879</v>
      </c>
      <c r="D416" s="821" t="s">
        <v>880</v>
      </c>
      <c r="E416" s="821" t="s">
        <v>880</v>
      </c>
      <c r="F416" s="821" t="s">
        <v>881</v>
      </c>
      <c r="G416" s="821" t="s">
        <v>882</v>
      </c>
      <c r="H416" s="821" t="s">
        <v>883</v>
      </c>
      <c r="I416" s="821" t="s">
        <v>951</v>
      </c>
      <c r="J416" s="821" t="s">
        <v>885</v>
      </c>
      <c r="K416" s="821" t="s">
        <v>886</v>
      </c>
      <c r="L416" s="821" t="s">
        <v>951</v>
      </c>
      <c r="M416" s="821" t="s">
        <v>1105</v>
      </c>
      <c r="N416" s="821" t="s">
        <v>886</v>
      </c>
      <c r="O416" s="821" t="s">
        <v>886</v>
      </c>
      <c r="P416" s="533">
        <v>878092</v>
      </c>
      <c r="Q416" s="820">
        <v>8780.92</v>
      </c>
      <c r="R416" t="str">
        <f t="shared" si="8"/>
        <v>201704</v>
      </c>
      <c r="S416" s="405">
        <f>Q416</f>
        <v>8780.92</v>
      </c>
    </row>
    <row r="417" spans="1:19">
      <c r="A417" s="821" t="s">
        <v>877</v>
      </c>
      <c r="B417" s="821" t="s">
        <v>878</v>
      </c>
      <c r="C417" s="821" t="s">
        <v>879</v>
      </c>
      <c r="D417" s="821" t="s">
        <v>880</v>
      </c>
      <c r="E417" s="821" t="s">
        <v>880</v>
      </c>
      <c r="F417" s="821" t="s">
        <v>881</v>
      </c>
      <c r="G417" s="821" t="s">
        <v>882</v>
      </c>
      <c r="H417" s="821" t="s">
        <v>883</v>
      </c>
      <c r="I417" s="821" t="s">
        <v>952</v>
      </c>
      <c r="J417" s="821" t="s">
        <v>885</v>
      </c>
      <c r="K417" s="821" t="s">
        <v>886</v>
      </c>
      <c r="L417" s="821" t="s">
        <v>952</v>
      </c>
      <c r="M417" s="821" t="s">
        <v>1105</v>
      </c>
      <c r="N417" s="821" t="s">
        <v>888</v>
      </c>
      <c r="O417" s="821" t="s">
        <v>886</v>
      </c>
      <c r="P417" s="533">
        <v>485982</v>
      </c>
      <c r="Q417" s="820">
        <v>-4859.82</v>
      </c>
      <c r="R417" t="str">
        <f t="shared" si="8"/>
        <v>201704</v>
      </c>
      <c r="S417" s="405">
        <f>-Q417</f>
        <v>4859.82</v>
      </c>
    </row>
    <row r="418" spans="1:19">
      <c r="A418" s="821" t="s">
        <v>877</v>
      </c>
      <c r="B418" s="821" t="s">
        <v>878</v>
      </c>
      <c r="C418" s="821" t="s">
        <v>879</v>
      </c>
      <c r="D418" s="821" t="s">
        <v>880</v>
      </c>
      <c r="E418" s="821" t="s">
        <v>880</v>
      </c>
      <c r="F418" s="821" t="s">
        <v>881</v>
      </c>
      <c r="G418" s="821" t="s">
        <v>882</v>
      </c>
      <c r="H418" s="821" t="s">
        <v>883</v>
      </c>
      <c r="I418" s="821" t="s">
        <v>952</v>
      </c>
      <c r="J418" s="821" t="s">
        <v>885</v>
      </c>
      <c r="K418" s="821" t="s">
        <v>886</v>
      </c>
      <c r="L418" s="821" t="s">
        <v>952</v>
      </c>
      <c r="M418" s="821" t="s">
        <v>1105</v>
      </c>
      <c r="N418" s="821" t="s">
        <v>888</v>
      </c>
      <c r="O418" s="821" t="s">
        <v>886</v>
      </c>
      <c r="P418" s="533">
        <v>14783879</v>
      </c>
      <c r="Q418" s="794">
        <v>-147838.79</v>
      </c>
      <c r="R418" t="str">
        <f t="shared" si="8"/>
        <v>201704</v>
      </c>
      <c r="S418" s="405">
        <f>-Q418</f>
        <v>147838.79</v>
      </c>
    </row>
    <row r="419" spans="1:19">
      <c r="A419" s="821" t="s">
        <v>877</v>
      </c>
      <c r="B419" s="821" t="s">
        <v>878</v>
      </c>
      <c r="C419" s="821" t="s">
        <v>879</v>
      </c>
      <c r="D419" s="821" t="s">
        <v>880</v>
      </c>
      <c r="E419" s="821" t="s">
        <v>880</v>
      </c>
      <c r="F419" s="821" t="s">
        <v>881</v>
      </c>
      <c r="G419" s="821" t="s">
        <v>882</v>
      </c>
      <c r="H419" s="821" t="s">
        <v>883</v>
      </c>
      <c r="I419" s="821" t="s">
        <v>953</v>
      </c>
      <c r="J419" s="821" t="s">
        <v>885</v>
      </c>
      <c r="K419" s="821" t="s">
        <v>886</v>
      </c>
      <c r="L419" s="821" t="s">
        <v>953</v>
      </c>
      <c r="M419" s="821" t="s">
        <v>1105</v>
      </c>
      <c r="N419" s="821" t="s">
        <v>886</v>
      </c>
      <c r="O419" s="821" t="s">
        <v>886</v>
      </c>
      <c r="P419" s="533">
        <v>165355</v>
      </c>
      <c r="Q419" s="820">
        <v>1653.55</v>
      </c>
      <c r="R419" t="str">
        <f t="shared" si="8"/>
        <v>201704</v>
      </c>
      <c r="S419" s="405">
        <f>Q419</f>
        <v>1653.55</v>
      </c>
    </row>
    <row r="420" spans="1:19">
      <c r="A420" s="821" t="s">
        <v>877</v>
      </c>
      <c r="B420" s="821" t="s">
        <v>878</v>
      </c>
      <c r="C420" s="821" t="s">
        <v>879</v>
      </c>
      <c r="D420" s="821" t="s">
        <v>880</v>
      </c>
      <c r="E420" s="821" t="s">
        <v>880</v>
      </c>
      <c r="F420" s="821" t="s">
        <v>881</v>
      </c>
      <c r="G420" s="821" t="s">
        <v>882</v>
      </c>
      <c r="H420" s="821" t="s">
        <v>883</v>
      </c>
      <c r="I420" s="821" t="s">
        <v>953</v>
      </c>
      <c r="J420" s="821" t="s">
        <v>885</v>
      </c>
      <c r="K420" s="821" t="s">
        <v>886</v>
      </c>
      <c r="L420" s="821" t="s">
        <v>953</v>
      </c>
      <c r="M420" s="821" t="s">
        <v>1105</v>
      </c>
      <c r="N420" s="821" t="s">
        <v>886</v>
      </c>
      <c r="O420" s="821" t="s">
        <v>886</v>
      </c>
      <c r="P420" s="533">
        <v>100000000</v>
      </c>
      <c r="Q420" s="794">
        <v>1000000</v>
      </c>
      <c r="R420" t="str">
        <f t="shared" si="8"/>
        <v>201704</v>
      </c>
      <c r="S420" s="405">
        <f>Q420</f>
        <v>1000000</v>
      </c>
    </row>
    <row r="421" spans="1:19">
      <c r="A421" s="821" t="s">
        <v>877</v>
      </c>
      <c r="B421" s="821" t="s">
        <v>878</v>
      </c>
      <c r="C421" s="821" t="s">
        <v>879</v>
      </c>
      <c r="D421" s="821" t="s">
        <v>880</v>
      </c>
      <c r="E421" s="821" t="s">
        <v>880</v>
      </c>
      <c r="F421" s="821" t="s">
        <v>881</v>
      </c>
      <c r="G421" s="821" t="s">
        <v>882</v>
      </c>
      <c r="H421" s="821" t="s">
        <v>883</v>
      </c>
      <c r="I421" s="821" t="s">
        <v>953</v>
      </c>
      <c r="J421" s="821" t="s">
        <v>885</v>
      </c>
      <c r="K421" s="821" t="s">
        <v>886</v>
      </c>
      <c r="L421" s="821" t="s">
        <v>953</v>
      </c>
      <c r="M421" s="821" t="s">
        <v>1105</v>
      </c>
      <c r="N421" s="821" t="s">
        <v>886</v>
      </c>
      <c r="O421" s="821" t="s">
        <v>886</v>
      </c>
      <c r="P421" s="533">
        <v>100000000</v>
      </c>
      <c r="Q421" s="794">
        <v>1000000</v>
      </c>
      <c r="R421" t="str">
        <f t="shared" si="8"/>
        <v>201704</v>
      </c>
      <c r="S421" s="405">
        <f>Q421</f>
        <v>1000000</v>
      </c>
    </row>
    <row r="422" spans="1:19">
      <c r="A422" s="821" t="s">
        <v>877</v>
      </c>
      <c r="B422" s="821" t="s">
        <v>878</v>
      </c>
      <c r="C422" s="821" t="s">
        <v>879</v>
      </c>
      <c r="D422" s="821" t="s">
        <v>880</v>
      </c>
      <c r="E422" s="821" t="s">
        <v>880</v>
      </c>
      <c r="F422" s="821" t="s">
        <v>881</v>
      </c>
      <c r="G422" s="821" t="s">
        <v>882</v>
      </c>
      <c r="H422" s="821" t="s">
        <v>883</v>
      </c>
      <c r="I422" s="821" t="s">
        <v>954</v>
      </c>
      <c r="J422" s="821" t="s">
        <v>885</v>
      </c>
      <c r="K422" s="821" t="s">
        <v>886</v>
      </c>
      <c r="L422" s="821" t="s">
        <v>954</v>
      </c>
      <c r="M422" s="821" t="s">
        <v>1105</v>
      </c>
      <c r="N422" s="821" t="s">
        <v>888</v>
      </c>
      <c r="O422" s="821" t="s">
        <v>886</v>
      </c>
      <c r="P422" s="533">
        <v>444727</v>
      </c>
      <c r="Q422" s="820">
        <v>-4447.2700000000004</v>
      </c>
      <c r="R422" t="str">
        <f t="shared" si="8"/>
        <v>201704</v>
      </c>
      <c r="S422" s="405">
        <f>-Q422</f>
        <v>4447.2700000000004</v>
      </c>
    </row>
    <row r="423" spans="1:19">
      <c r="A423" s="821" t="s">
        <v>877</v>
      </c>
      <c r="B423" s="821" t="s">
        <v>878</v>
      </c>
      <c r="C423" s="821" t="s">
        <v>879</v>
      </c>
      <c r="D423" s="821" t="s">
        <v>880</v>
      </c>
      <c r="E423" s="821" t="s">
        <v>880</v>
      </c>
      <c r="F423" s="821" t="s">
        <v>881</v>
      </c>
      <c r="G423" s="821" t="s">
        <v>882</v>
      </c>
      <c r="H423" s="821" t="s">
        <v>883</v>
      </c>
      <c r="I423" s="821" t="s">
        <v>954</v>
      </c>
      <c r="J423" s="821" t="s">
        <v>885</v>
      </c>
      <c r="K423" s="821" t="s">
        <v>886</v>
      </c>
      <c r="L423" s="821" t="s">
        <v>954</v>
      </c>
      <c r="M423" s="821" t="s">
        <v>1105</v>
      </c>
      <c r="N423" s="821" t="s">
        <v>888</v>
      </c>
      <c r="O423" s="821" t="s">
        <v>886</v>
      </c>
      <c r="P423" s="533">
        <v>44832133</v>
      </c>
      <c r="Q423" s="794">
        <v>-448321.33</v>
      </c>
      <c r="R423" t="str">
        <f t="shared" si="8"/>
        <v>201704</v>
      </c>
      <c r="S423" s="405">
        <f>-Q423</f>
        <v>448321.33</v>
      </c>
    </row>
    <row r="424" spans="1:19">
      <c r="A424" s="821" t="s">
        <v>877</v>
      </c>
      <c r="B424" s="821" t="s">
        <v>878</v>
      </c>
      <c r="C424" s="821" t="s">
        <v>879</v>
      </c>
      <c r="D424" s="821" t="s">
        <v>880</v>
      </c>
      <c r="E424" s="821" t="s">
        <v>880</v>
      </c>
      <c r="F424" s="821" t="s">
        <v>881</v>
      </c>
      <c r="G424" s="821" t="s">
        <v>882</v>
      </c>
      <c r="H424" s="821" t="s">
        <v>883</v>
      </c>
      <c r="I424" s="821" t="s">
        <v>955</v>
      </c>
      <c r="J424" s="821" t="s">
        <v>885</v>
      </c>
      <c r="K424" s="821" t="s">
        <v>886</v>
      </c>
      <c r="L424" s="821" t="s">
        <v>955</v>
      </c>
      <c r="M424" s="821" t="s">
        <v>1105</v>
      </c>
      <c r="N424" s="821" t="s">
        <v>886</v>
      </c>
      <c r="O424" s="821" t="s">
        <v>886</v>
      </c>
      <c r="P424" s="533">
        <v>1634209</v>
      </c>
      <c r="Q424" s="820">
        <v>16342.09</v>
      </c>
      <c r="R424" t="str">
        <f t="shared" si="8"/>
        <v>201704</v>
      </c>
      <c r="S424" s="405">
        <f>Q424</f>
        <v>16342.09</v>
      </c>
    </row>
    <row r="425" spans="1:19">
      <c r="A425" s="821" t="s">
        <v>877</v>
      </c>
      <c r="B425" s="821" t="s">
        <v>878</v>
      </c>
      <c r="C425" s="821" t="s">
        <v>879</v>
      </c>
      <c r="D425" s="821" t="s">
        <v>880</v>
      </c>
      <c r="E425" s="821" t="s">
        <v>880</v>
      </c>
      <c r="F425" s="821" t="s">
        <v>881</v>
      </c>
      <c r="G425" s="821" t="s">
        <v>882</v>
      </c>
      <c r="H425" s="821" t="s">
        <v>883</v>
      </c>
      <c r="I425" s="821" t="s">
        <v>956</v>
      </c>
      <c r="J425" s="821" t="s">
        <v>885</v>
      </c>
      <c r="K425" s="821" t="s">
        <v>886</v>
      </c>
      <c r="L425" s="821" t="s">
        <v>956</v>
      </c>
      <c r="M425" s="821" t="s">
        <v>1105</v>
      </c>
      <c r="N425" s="821" t="s">
        <v>886</v>
      </c>
      <c r="O425" s="821" t="s">
        <v>886</v>
      </c>
      <c r="P425" s="533">
        <v>1010793</v>
      </c>
      <c r="Q425" s="820">
        <v>10107.93</v>
      </c>
      <c r="R425" t="str">
        <f t="shared" si="8"/>
        <v>201704</v>
      </c>
      <c r="S425" s="405">
        <f>Q425</f>
        <v>10107.93</v>
      </c>
    </row>
    <row r="426" spans="1:19">
      <c r="A426" s="821" t="s">
        <v>877</v>
      </c>
      <c r="B426" s="821" t="s">
        <v>878</v>
      </c>
      <c r="C426" s="821" t="s">
        <v>879</v>
      </c>
      <c r="D426" s="821" t="s">
        <v>880</v>
      </c>
      <c r="E426" s="821" t="s">
        <v>880</v>
      </c>
      <c r="F426" s="821" t="s">
        <v>881</v>
      </c>
      <c r="G426" s="821" t="s">
        <v>882</v>
      </c>
      <c r="H426" s="821" t="s">
        <v>883</v>
      </c>
      <c r="I426" s="821" t="s">
        <v>956</v>
      </c>
      <c r="J426" s="821" t="s">
        <v>885</v>
      </c>
      <c r="K426" s="821" t="s">
        <v>886</v>
      </c>
      <c r="L426" s="821" t="s">
        <v>956</v>
      </c>
      <c r="M426" s="821" t="s">
        <v>1105</v>
      </c>
      <c r="N426" s="821" t="s">
        <v>888</v>
      </c>
      <c r="O426" s="821" t="s">
        <v>886</v>
      </c>
      <c r="P426" s="533">
        <v>264525</v>
      </c>
      <c r="Q426" s="820">
        <v>-2645.25</v>
      </c>
      <c r="R426" t="str">
        <f t="shared" si="8"/>
        <v>201704</v>
      </c>
      <c r="S426" s="405">
        <f>-Q426</f>
        <v>2645.25</v>
      </c>
    </row>
    <row r="427" spans="1:19">
      <c r="A427" s="821" t="s">
        <v>877</v>
      </c>
      <c r="B427" s="821" t="s">
        <v>878</v>
      </c>
      <c r="C427" s="821" t="s">
        <v>879</v>
      </c>
      <c r="D427" s="821" t="s">
        <v>880</v>
      </c>
      <c r="E427" s="821" t="s">
        <v>880</v>
      </c>
      <c r="F427" s="821" t="s">
        <v>881</v>
      </c>
      <c r="G427" s="821" t="s">
        <v>882</v>
      </c>
      <c r="H427" s="821" t="s">
        <v>883</v>
      </c>
      <c r="I427" s="821" t="s">
        <v>957</v>
      </c>
      <c r="J427" s="821" t="s">
        <v>885</v>
      </c>
      <c r="K427" s="821" t="s">
        <v>886</v>
      </c>
      <c r="L427" s="821" t="s">
        <v>957</v>
      </c>
      <c r="M427" s="821" t="s">
        <v>1105</v>
      </c>
      <c r="N427" s="821" t="s">
        <v>888</v>
      </c>
      <c r="O427" s="821" t="s">
        <v>886</v>
      </c>
      <c r="P427" s="533">
        <v>167224</v>
      </c>
      <c r="Q427" s="820">
        <v>-1672.24</v>
      </c>
      <c r="R427" t="str">
        <f t="shared" si="8"/>
        <v>201705</v>
      </c>
      <c r="S427" s="405">
        <f>-Q427</f>
        <v>1672.24</v>
      </c>
    </row>
    <row r="428" spans="1:19">
      <c r="A428" s="821" t="s">
        <v>877</v>
      </c>
      <c r="B428" s="821" t="s">
        <v>878</v>
      </c>
      <c r="C428" s="821" t="s">
        <v>879</v>
      </c>
      <c r="D428" s="821" t="s">
        <v>880</v>
      </c>
      <c r="E428" s="821" t="s">
        <v>880</v>
      </c>
      <c r="F428" s="821" t="s">
        <v>881</v>
      </c>
      <c r="G428" s="821" t="s">
        <v>882</v>
      </c>
      <c r="H428" s="821" t="s">
        <v>883</v>
      </c>
      <c r="I428" s="821" t="s">
        <v>957</v>
      </c>
      <c r="J428" s="821" t="s">
        <v>885</v>
      </c>
      <c r="K428" s="821" t="s">
        <v>886</v>
      </c>
      <c r="L428" s="821" t="s">
        <v>957</v>
      </c>
      <c r="M428" s="821" t="s">
        <v>1105</v>
      </c>
      <c r="N428" s="821" t="s">
        <v>886</v>
      </c>
      <c r="O428" s="821" t="s">
        <v>886</v>
      </c>
      <c r="P428" s="533">
        <v>5000000</v>
      </c>
      <c r="Q428" s="794">
        <v>50000</v>
      </c>
      <c r="R428" t="str">
        <f t="shared" si="8"/>
        <v>201705</v>
      </c>
      <c r="S428" s="405">
        <f>Q428</f>
        <v>50000</v>
      </c>
    </row>
    <row r="429" spans="1:19">
      <c r="A429" s="821" t="s">
        <v>877</v>
      </c>
      <c r="B429" s="821" t="s">
        <v>878</v>
      </c>
      <c r="C429" s="821" t="s">
        <v>879</v>
      </c>
      <c r="D429" s="821" t="s">
        <v>880</v>
      </c>
      <c r="E429" s="821" t="s">
        <v>880</v>
      </c>
      <c r="F429" s="821" t="s">
        <v>881</v>
      </c>
      <c r="G429" s="821" t="s">
        <v>882</v>
      </c>
      <c r="H429" s="821" t="s">
        <v>883</v>
      </c>
      <c r="I429" s="821" t="s">
        <v>957</v>
      </c>
      <c r="J429" s="821" t="s">
        <v>885</v>
      </c>
      <c r="K429" s="821" t="s">
        <v>886</v>
      </c>
      <c r="L429" s="821" t="s">
        <v>957</v>
      </c>
      <c r="M429" s="821" t="s">
        <v>1105</v>
      </c>
      <c r="N429" s="821" t="s">
        <v>886</v>
      </c>
      <c r="O429" s="821" t="s">
        <v>886</v>
      </c>
      <c r="P429" s="533">
        <v>79500000</v>
      </c>
      <c r="Q429" s="794">
        <v>795000</v>
      </c>
      <c r="R429" t="str">
        <f t="shared" si="8"/>
        <v>201705</v>
      </c>
      <c r="S429" s="405">
        <f>Q429</f>
        <v>795000</v>
      </c>
    </row>
    <row r="430" spans="1:19">
      <c r="A430" s="821" t="s">
        <v>877</v>
      </c>
      <c r="B430" s="821" t="s">
        <v>878</v>
      </c>
      <c r="C430" s="821" t="s">
        <v>879</v>
      </c>
      <c r="D430" s="821" t="s">
        <v>880</v>
      </c>
      <c r="E430" s="821" t="s">
        <v>880</v>
      </c>
      <c r="F430" s="821" t="s">
        <v>881</v>
      </c>
      <c r="G430" s="821" t="s">
        <v>882</v>
      </c>
      <c r="H430" s="821" t="s">
        <v>883</v>
      </c>
      <c r="I430" s="821" t="s">
        <v>957</v>
      </c>
      <c r="J430" s="821" t="s">
        <v>885</v>
      </c>
      <c r="K430" s="821" t="s">
        <v>886</v>
      </c>
      <c r="L430" s="821" t="s">
        <v>957</v>
      </c>
      <c r="M430" s="821" t="s">
        <v>1105</v>
      </c>
      <c r="N430" s="821" t="s">
        <v>888</v>
      </c>
      <c r="O430" s="821" t="s">
        <v>886</v>
      </c>
      <c r="P430" s="533">
        <v>105435790</v>
      </c>
      <c r="Q430" s="794">
        <v>-1054357.8999999999</v>
      </c>
      <c r="R430" t="str">
        <f t="shared" si="8"/>
        <v>201705</v>
      </c>
      <c r="S430" s="405">
        <f>-Q430</f>
        <v>1054357.8999999999</v>
      </c>
    </row>
    <row r="431" spans="1:19">
      <c r="A431" s="821" t="s">
        <v>877</v>
      </c>
      <c r="B431" s="821" t="s">
        <v>878</v>
      </c>
      <c r="C431" s="821" t="s">
        <v>879</v>
      </c>
      <c r="D431" s="821" t="s">
        <v>880</v>
      </c>
      <c r="E431" s="821" t="s">
        <v>880</v>
      </c>
      <c r="F431" s="821" t="s">
        <v>881</v>
      </c>
      <c r="G431" s="821" t="s">
        <v>882</v>
      </c>
      <c r="H431" s="821" t="s">
        <v>883</v>
      </c>
      <c r="I431" s="821" t="s">
        <v>958</v>
      </c>
      <c r="J431" s="821" t="s">
        <v>885</v>
      </c>
      <c r="K431" s="821" t="s">
        <v>886</v>
      </c>
      <c r="L431" s="821" t="s">
        <v>958</v>
      </c>
      <c r="M431" s="821" t="s">
        <v>1105</v>
      </c>
      <c r="N431" s="821" t="s">
        <v>886</v>
      </c>
      <c r="O431" s="821" t="s">
        <v>886</v>
      </c>
      <c r="P431" s="533">
        <v>192311</v>
      </c>
      <c r="Q431" s="820">
        <v>1923.11</v>
      </c>
      <c r="R431" t="str">
        <f t="shared" si="8"/>
        <v>201705</v>
      </c>
      <c r="S431" s="405">
        <f>Q431</f>
        <v>1923.11</v>
      </c>
    </row>
    <row r="432" spans="1:19">
      <c r="A432" s="821" t="s">
        <v>877</v>
      </c>
      <c r="B432" s="821" t="s">
        <v>878</v>
      </c>
      <c r="C432" s="821" t="s">
        <v>879</v>
      </c>
      <c r="D432" s="821" t="s">
        <v>880</v>
      </c>
      <c r="E432" s="821" t="s">
        <v>880</v>
      </c>
      <c r="F432" s="821" t="s">
        <v>881</v>
      </c>
      <c r="G432" s="821" t="s">
        <v>882</v>
      </c>
      <c r="H432" s="821" t="s">
        <v>883</v>
      </c>
      <c r="I432" s="821" t="s">
        <v>958</v>
      </c>
      <c r="J432" s="821" t="s">
        <v>885</v>
      </c>
      <c r="K432" s="821" t="s">
        <v>886</v>
      </c>
      <c r="L432" s="821" t="s">
        <v>958</v>
      </c>
      <c r="M432" s="821" t="s">
        <v>1105</v>
      </c>
      <c r="N432" s="821" t="s">
        <v>886</v>
      </c>
      <c r="O432" s="821" t="s">
        <v>886</v>
      </c>
      <c r="P432" s="533">
        <v>1822690</v>
      </c>
      <c r="Q432" s="820">
        <v>18226.900000000001</v>
      </c>
      <c r="R432" t="str">
        <f t="shared" si="8"/>
        <v>201705</v>
      </c>
      <c r="S432" s="405">
        <f>Q432</f>
        <v>18226.900000000001</v>
      </c>
    </row>
    <row r="433" spans="1:19">
      <c r="A433" s="821" t="s">
        <v>877</v>
      </c>
      <c r="B433" s="821" t="s">
        <v>878</v>
      </c>
      <c r="C433" s="821" t="s">
        <v>879</v>
      </c>
      <c r="D433" s="821" t="s">
        <v>880</v>
      </c>
      <c r="E433" s="821" t="s">
        <v>880</v>
      </c>
      <c r="F433" s="821" t="s">
        <v>881</v>
      </c>
      <c r="G433" s="821" t="s">
        <v>882</v>
      </c>
      <c r="H433" s="821" t="s">
        <v>883</v>
      </c>
      <c r="I433" s="821" t="s">
        <v>958</v>
      </c>
      <c r="J433" s="821" t="s">
        <v>885</v>
      </c>
      <c r="K433" s="821" t="s">
        <v>886</v>
      </c>
      <c r="L433" s="821" t="s">
        <v>958</v>
      </c>
      <c r="M433" s="821" t="s">
        <v>1105</v>
      </c>
      <c r="N433" s="821" t="s">
        <v>888</v>
      </c>
      <c r="O433" s="821" t="s">
        <v>886</v>
      </c>
      <c r="P433" s="533">
        <v>19891827</v>
      </c>
      <c r="Q433" s="794">
        <v>-198918.27</v>
      </c>
      <c r="R433" t="str">
        <f t="shared" si="8"/>
        <v>201705</v>
      </c>
      <c r="S433" s="405">
        <f>-Q433</f>
        <v>198918.27</v>
      </c>
    </row>
    <row r="434" spans="1:19">
      <c r="A434" s="821" t="s">
        <v>877</v>
      </c>
      <c r="B434" s="821" t="s">
        <v>878</v>
      </c>
      <c r="C434" s="821" t="s">
        <v>879</v>
      </c>
      <c r="D434" s="821" t="s">
        <v>880</v>
      </c>
      <c r="E434" s="821" t="s">
        <v>880</v>
      </c>
      <c r="F434" s="821" t="s">
        <v>881</v>
      </c>
      <c r="G434" s="821" t="s">
        <v>882</v>
      </c>
      <c r="H434" s="821" t="s">
        <v>883</v>
      </c>
      <c r="I434" s="821" t="s">
        <v>959</v>
      </c>
      <c r="J434" s="821" t="s">
        <v>885</v>
      </c>
      <c r="K434" s="821" t="s">
        <v>886</v>
      </c>
      <c r="L434" s="821" t="s">
        <v>959</v>
      </c>
      <c r="M434" s="821" t="s">
        <v>1105</v>
      </c>
      <c r="N434" s="821" t="s">
        <v>888</v>
      </c>
      <c r="O434" s="821" t="s">
        <v>886</v>
      </c>
      <c r="P434" s="533">
        <v>490034</v>
      </c>
      <c r="Q434" s="820">
        <v>-4900.34</v>
      </c>
      <c r="R434" t="str">
        <f t="shared" si="8"/>
        <v>201705</v>
      </c>
      <c r="S434" s="405">
        <f>-Q434</f>
        <v>4900.34</v>
      </c>
    </row>
    <row r="435" spans="1:19">
      <c r="A435" s="821" t="s">
        <v>877</v>
      </c>
      <c r="B435" s="821" t="s">
        <v>878</v>
      </c>
      <c r="C435" s="821" t="s">
        <v>879</v>
      </c>
      <c r="D435" s="821" t="s">
        <v>880</v>
      </c>
      <c r="E435" s="821" t="s">
        <v>880</v>
      </c>
      <c r="F435" s="821" t="s">
        <v>881</v>
      </c>
      <c r="G435" s="821" t="s">
        <v>882</v>
      </c>
      <c r="H435" s="821" t="s">
        <v>883</v>
      </c>
      <c r="I435" s="821" t="s">
        <v>959</v>
      </c>
      <c r="J435" s="821" t="s">
        <v>885</v>
      </c>
      <c r="K435" s="821" t="s">
        <v>886</v>
      </c>
      <c r="L435" s="821" t="s">
        <v>959</v>
      </c>
      <c r="M435" s="821" t="s">
        <v>1105</v>
      </c>
      <c r="N435" s="821" t="s">
        <v>888</v>
      </c>
      <c r="O435" s="821" t="s">
        <v>886</v>
      </c>
      <c r="P435" s="533">
        <v>50939697</v>
      </c>
      <c r="Q435" s="794">
        <v>-509396.97</v>
      </c>
      <c r="R435" t="str">
        <f t="shared" si="8"/>
        <v>201705</v>
      </c>
      <c r="S435" s="405">
        <f>-Q435</f>
        <v>509396.97</v>
      </c>
    </row>
    <row r="436" spans="1:19">
      <c r="A436" s="821" t="s">
        <v>877</v>
      </c>
      <c r="B436" s="821" t="s">
        <v>878</v>
      </c>
      <c r="C436" s="821" t="s">
        <v>879</v>
      </c>
      <c r="D436" s="821" t="s">
        <v>880</v>
      </c>
      <c r="E436" s="821" t="s">
        <v>880</v>
      </c>
      <c r="F436" s="821" t="s">
        <v>881</v>
      </c>
      <c r="G436" s="821" t="s">
        <v>882</v>
      </c>
      <c r="H436" s="821" t="s">
        <v>883</v>
      </c>
      <c r="I436" s="821" t="s">
        <v>960</v>
      </c>
      <c r="J436" s="821" t="s">
        <v>885</v>
      </c>
      <c r="K436" s="821" t="s">
        <v>886</v>
      </c>
      <c r="L436" s="821" t="s">
        <v>960</v>
      </c>
      <c r="M436" s="821" t="s">
        <v>1105</v>
      </c>
      <c r="N436" s="821" t="s">
        <v>886</v>
      </c>
      <c r="O436" s="821" t="s">
        <v>886</v>
      </c>
      <c r="P436" s="533">
        <v>624528</v>
      </c>
      <c r="Q436" s="820">
        <v>6245.28</v>
      </c>
      <c r="R436" t="str">
        <f t="shared" si="8"/>
        <v>201705</v>
      </c>
      <c r="S436" s="405">
        <f>Q436</f>
        <v>6245.28</v>
      </c>
    </row>
    <row r="437" spans="1:19">
      <c r="A437" s="821" t="s">
        <v>877</v>
      </c>
      <c r="B437" s="821" t="s">
        <v>878</v>
      </c>
      <c r="C437" s="821" t="s">
        <v>879</v>
      </c>
      <c r="D437" s="821" t="s">
        <v>880</v>
      </c>
      <c r="E437" s="821" t="s">
        <v>880</v>
      </c>
      <c r="F437" s="821" t="s">
        <v>881</v>
      </c>
      <c r="G437" s="821" t="s">
        <v>882</v>
      </c>
      <c r="H437" s="821" t="s">
        <v>883</v>
      </c>
      <c r="I437" s="821" t="s">
        <v>960</v>
      </c>
      <c r="J437" s="821" t="s">
        <v>885</v>
      </c>
      <c r="K437" s="821" t="s">
        <v>886</v>
      </c>
      <c r="L437" s="821" t="s">
        <v>960</v>
      </c>
      <c r="M437" s="821" t="s">
        <v>1105</v>
      </c>
      <c r="N437" s="821" t="s">
        <v>886</v>
      </c>
      <c r="O437" s="821" t="s">
        <v>886</v>
      </c>
      <c r="P437" s="533">
        <v>25000000</v>
      </c>
      <c r="Q437" s="794">
        <v>250000</v>
      </c>
      <c r="R437" t="str">
        <f t="shared" si="8"/>
        <v>201705</v>
      </c>
      <c r="S437" s="405">
        <f>Q437</f>
        <v>250000</v>
      </c>
    </row>
    <row r="438" spans="1:19">
      <c r="A438" s="821" t="s">
        <v>877</v>
      </c>
      <c r="B438" s="821" t="s">
        <v>878</v>
      </c>
      <c r="C438" s="821" t="s">
        <v>879</v>
      </c>
      <c r="D438" s="821" t="s">
        <v>880</v>
      </c>
      <c r="E438" s="821" t="s">
        <v>880</v>
      </c>
      <c r="F438" s="821" t="s">
        <v>881</v>
      </c>
      <c r="G438" s="821" t="s">
        <v>882</v>
      </c>
      <c r="H438" s="821" t="s">
        <v>883</v>
      </c>
      <c r="I438" s="821" t="s">
        <v>961</v>
      </c>
      <c r="J438" s="821" t="s">
        <v>885</v>
      </c>
      <c r="K438" s="821" t="s">
        <v>886</v>
      </c>
      <c r="L438" s="821" t="s">
        <v>961</v>
      </c>
      <c r="M438" s="821" t="s">
        <v>1105</v>
      </c>
      <c r="N438" s="821" t="s">
        <v>888</v>
      </c>
      <c r="O438" s="821" t="s">
        <v>886</v>
      </c>
      <c r="P438" s="533">
        <v>1037386</v>
      </c>
      <c r="Q438" s="820">
        <v>-10373.86</v>
      </c>
      <c r="R438" t="str">
        <f t="shared" si="8"/>
        <v>201705</v>
      </c>
      <c r="S438" s="405">
        <f t="shared" ref="S438:S443" si="9">-Q438</f>
        <v>10373.86</v>
      </c>
    </row>
    <row r="439" spans="1:19">
      <c r="A439" s="821" t="s">
        <v>877</v>
      </c>
      <c r="B439" s="821" t="s">
        <v>878</v>
      </c>
      <c r="C439" s="821" t="s">
        <v>879</v>
      </c>
      <c r="D439" s="821" t="s">
        <v>880</v>
      </c>
      <c r="E439" s="821" t="s">
        <v>880</v>
      </c>
      <c r="F439" s="821" t="s">
        <v>881</v>
      </c>
      <c r="G439" s="821" t="s">
        <v>882</v>
      </c>
      <c r="H439" s="821" t="s">
        <v>883</v>
      </c>
      <c r="I439" s="821" t="s">
        <v>962</v>
      </c>
      <c r="J439" s="821" t="s">
        <v>885</v>
      </c>
      <c r="K439" s="821" t="s">
        <v>886</v>
      </c>
      <c r="L439" s="821" t="s">
        <v>962</v>
      </c>
      <c r="M439" s="821" t="s">
        <v>1105</v>
      </c>
      <c r="N439" s="821" t="s">
        <v>888</v>
      </c>
      <c r="O439" s="821" t="s">
        <v>886</v>
      </c>
      <c r="P439" s="533">
        <v>494714</v>
      </c>
      <c r="Q439" s="820">
        <v>-4947.1400000000003</v>
      </c>
      <c r="R439" t="str">
        <f t="shared" si="8"/>
        <v>201705</v>
      </c>
      <c r="S439" s="405">
        <f t="shared" si="9"/>
        <v>4947.1400000000003</v>
      </c>
    </row>
    <row r="440" spans="1:19">
      <c r="A440" s="821" t="s">
        <v>877</v>
      </c>
      <c r="B440" s="821" t="s">
        <v>878</v>
      </c>
      <c r="C440" s="821" t="s">
        <v>879</v>
      </c>
      <c r="D440" s="821" t="s">
        <v>880</v>
      </c>
      <c r="E440" s="821" t="s">
        <v>880</v>
      </c>
      <c r="F440" s="821" t="s">
        <v>881</v>
      </c>
      <c r="G440" s="821" t="s">
        <v>882</v>
      </c>
      <c r="H440" s="821" t="s">
        <v>883</v>
      </c>
      <c r="I440" s="821" t="s">
        <v>962</v>
      </c>
      <c r="J440" s="821" t="s">
        <v>885</v>
      </c>
      <c r="K440" s="821" t="s">
        <v>886</v>
      </c>
      <c r="L440" s="821" t="s">
        <v>962</v>
      </c>
      <c r="M440" s="821" t="s">
        <v>1105</v>
      </c>
      <c r="N440" s="821" t="s">
        <v>888</v>
      </c>
      <c r="O440" s="821" t="s">
        <v>886</v>
      </c>
      <c r="P440" s="533">
        <v>24814423</v>
      </c>
      <c r="Q440" s="794">
        <v>-248144.23</v>
      </c>
      <c r="R440" t="str">
        <f t="shared" si="8"/>
        <v>201705</v>
      </c>
      <c r="S440" s="405">
        <f t="shared" si="9"/>
        <v>248144.23</v>
      </c>
    </row>
    <row r="441" spans="1:19">
      <c r="A441" s="821" t="s">
        <v>877</v>
      </c>
      <c r="B441" s="821" t="s">
        <v>878</v>
      </c>
      <c r="C441" s="821" t="s">
        <v>879</v>
      </c>
      <c r="D441" s="821" t="s">
        <v>880</v>
      </c>
      <c r="E441" s="821" t="s">
        <v>880</v>
      </c>
      <c r="F441" s="821" t="s">
        <v>881</v>
      </c>
      <c r="G441" s="821" t="s">
        <v>882</v>
      </c>
      <c r="H441" s="821" t="s">
        <v>883</v>
      </c>
      <c r="I441" s="821" t="s">
        <v>963</v>
      </c>
      <c r="J441" s="821" t="s">
        <v>885</v>
      </c>
      <c r="K441" s="821" t="s">
        <v>886</v>
      </c>
      <c r="L441" s="821" t="s">
        <v>963</v>
      </c>
      <c r="M441" s="821" t="s">
        <v>1105</v>
      </c>
      <c r="N441" s="821" t="s">
        <v>888</v>
      </c>
      <c r="O441" s="821" t="s">
        <v>886</v>
      </c>
      <c r="P441" s="533">
        <v>21260</v>
      </c>
      <c r="Q441" s="820">
        <v>-212.6</v>
      </c>
      <c r="R441" t="str">
        <f t="shared" si="8"/>
        <v>201705</v>
      </c>
      <c r="S441" s="405">
        <f t="shared" si="9"/>
        <v>212.6</v>
      </c>
    </row>
    <row r="442" spans="1:19">
      <c r="A442" s="821" t="s">
        <v>877</v>
      </c>
      <c r="B442" s="821" t="s">
        <v>878</v>
      </c>
      <c r="C442" s="821" t="s">
        <v>879</v>
      </c>
      <c r="D442" s="821" t="s">
        <v>880</v>
      </c>
      <c r="E442" s="821" t="s">
        <v>880</v>
      </c>
      <c r="F442" s="821" t="s">
        <v>881</v>
      </c>
      <c r="G442" s="821" t="s">
        <v>882</v>
      </c>
      <c r="H442" s="821" t="s">
        <v>883</v>
      </c>
      <c r="I442" s="821" t="s">
        <v>964</v>
      </c>
      <c r="J442" s="821" t="s">
        <v>885</v>
      </c>
      <c r="K442" s="821" t="s">
        <v>886</v>
      </c>
      <c r="L442" s="821" t="s">
        <v>964</v>
      </c>
      <c r="M442" s="821" t="s">
        <v>1105</v>
      </c>
      <c r="N442" s="821" t="s">
        <v>888</v>
      </c>
      <c r="O442" s="821" t="s">
        <v>886</v>
      </c>
      <c r="P442" s="533">
        <v>5187</v>
      </c>
      <c r="Q442" s="820">
        <v>-51.87</v>
      </c>
      <c r="R442" t="str">
        <f t="shared" si="8"/>
        <v>201705</v>
      </c>
      <c r="S442" s="405">
        <f t="shared" si="9"/>
        <v>51.87</v>
      </c>
    </row>
    <row r="443" spans="1:19">
      <c r="A443" s="821" t="s">
        <v>877</v>
      </c>
      <c r="B443" s="821" t="s">
        <v>878</v>
      </c>
      <c r="C443" s="821" t="s">
        <v>879</v>
      </c>
      <c r="D443" s="821" t="s">
        <v>880</v>
      </c>
      <c r="E443" s="821" t="s">
        <v>880</v>
      </c>
      <c r="F443" s="821" t="s">
        <v>881</v>
      </c>
      <c r="G443" s="821" t="s">
        <v>882</v>
      </c>
      <c r="H443" s="821" t="s">
        <v>883</v>
      </c>
      <c r="I443" s="821" t="s">
        <v>965</v>
      </c>
      <c r="J443" s="821" t="s">
        <v>885</v>
      </c>
      <c r="K443" s="821" t="s">
        <v>886</v>
      </c>
      <c r="L443" s="821" t="s">
        <v>965</v>
      </c>
      <c r="M443" s="821" t="s">
        <v>1105</v>
      </c>
      <c r="N443" s="821" t="s">
        <v>888</v>
      </c>
      <c r="O443" s="821" t="s">
        <v>886</v>
      </c>
      <c r="P443" s="533">
        <v>152443</v>
      </c>
      <c r="Q443" s="820">
        <v>-1524.43</v>
      </c>
      <c r="R443" t="str">
        <f t="shared" si="8"/>
        <v>201705</v>
      </c>
      <c r="S443" s="405">
        <f t="shared" si="9"/>
        <v>1524.43</v>
      </c>
    </row>
    <row r="444" spans="1:19">
      <c r="A444" s="821" t="s">
        <v>877</v>
      </c>
      <c r="B444" s="821" t="s">
        <v>878</v>
      </c>
      <c r="C444" s="821" t="s">
        <v>879</v>
      </c>
      <c r="D444" s="821" t="s">
        <v>880</v>
      </c>
      <c r="E444" s="821" t="s">
        <v>880</v>
      </c>
      <c r="F444" s="821" t="s">
        <v>881</v>
      </c>
      <c r="G444" s="821" t="s">
        <v>882</v>
      </c>
      <c r="H444" s="821" t="s">
        <v>883</v>
      </c>
      <c r="I444" s="821" t="s">
        <v>966</v>
      </c>
      <c r="J444" s="821" t="s">
        <v>885</v>
      </c>
      <c r="K444" s="821" t="s">
        <v>886</v>
      </c>
      <c r="L444" s="821" t="s">
        <v>966</v>
      </c>
      <c r="M444" s="821" t="s">
        <v>1105</v>
      </c>
      <c r="N444" s="821" t="s">
        <v>886</v>
      </c>
      <c r="O444" s="821" t="s">
        <v>886</v>
      </c>
      <c r="P444" s="533">
        <v>299450</v>
      </c>
      <c r="Q444" s="820">
        <v>2994.5</v>
      </c>
      <c r="R444" t="str">
        <f t="shared" si="8"/>
        <v>201705</v>
      </c>
      <c r="S444" s="405">
        <f>Q444</f>
        <v>2994.5</v>
      </c>
    </row>
    <row r="445" spans="1:19">
      <c r="A445" s="821" t="s">
        <v>877</v>
      </c>
      <c r="B445" s="821" t="s">
        <v>878</v>
      </c>
      <c r="C445" s="821" t="s">
        <v>879</v>
      </c>
      <c r="D445" s="821" t="s">
        <v>880</v>
      </c>
      <c r="E445" s="821" t="s">
        <v>880</v>
      </c>
      <c r="F445" s="821" t="s">
        <v>881</v>
      </c>
      <c r="G445" s="821" t="s">
        <v>882</v>
      </c>
      <c r="H445" s="821" t="s">
        <v>883</v>
      </c>
      <c r="I445" s="821" t="s">
        <v>967</v>
      </c>
      <c r="J445" s="821" t="s">
        <v>885</v>
      </c>
      <c r="K445" s="821" t="s">
        <v>886</v>
      </c>
      <c r="L445" s="821" t="s">
        <v>967</v>
      </c>
      <c r="M445" s="821" t="s">
        <v>1105</v>
      </c>
      <c r="N445" s="821" t="s">
        <v>886</v>
      </c>
      <c r="O445" s="821" t="s">
        <v>886</v>
      </c>
      <c r="P445" s="533">
        <v>384554</v>
      </c>
      <c r="Q445" s="820">
        <v>3845.54</v>
      </c>
      <c r="R445" t="str">
        <f t="shared" si="8"/>
        <v>201705</v>
      </c>
      <c r="S445" s="405">
        <f>Q445</f>
        <v>3845.54</v>
      </c>
    </row>
    <row r="446" spans="1:19">
      <c r="A446" s="821" t="s">
        <v>877</v>
      </c>
      <c r="B446" s="821" t="s">
        <v>878</v>
      </c>
      <c r="C446" s="821" t="s">
        <v>879</v>
      </c>
      <c r="D446" s="821" t="s">
        <v>880</v>
      </c>
      <c r="E446" s="821" t="s">
        <v>880</v>
      </c>
      <c r="F446" s="821" t="s">
        <v>881</v>
      </c>
      <c r="G446" s="821" t="s">
        <v>882</v>
      </c>
      <c r="H446" s="821" t="s">
        <v>883</v>
      </c>
      <c r="I446" s="821" t="s">
        <v>967</v>
      </c>
      <c r="J446" s="821" t="s">
        <v>885</v>
      </c>
      <c r="K446" s="821" t="s">
        <v>886</v>
      </c>
      <c r="L446" s="821" t="s">
        <v>967</v>
      </c>
      <c r="M446" s="821" t="s">
        <v>1105</v>
      </c>
      <c r="N446" s="821" t="s">
        <v>888</v>
      </c>
      <c r="O446" s="821" t="s">
        <v>886</v>
      </c>
      <c r="P446" s="533">
        <v>35123383</v>
      </c>
      <c r="Q446" s="794">
        <v>-351233.83</v>
      </c>
      <c r="R446" t="str">
        <f t="shared" si="8"/>
        <v>201705</v>
      </c>
      <c r="S446" s="405">
        <f>-Q446</f>
        <v>351233.83</v>
      </c>
    </row>
    <row r="447" spans="1:19">
      <c r="A447" s="821" t="s">
        <v>877</v>
      </c>
      <c r="B447" s="821" t="s">
        <v>878</v>
      </c>
      <c r="C447" s="821" t="s">
        <v>879</v>
      </c>
      <c r="D447" s="821" t="s">
        <v>880</v>
      </c>
      <c r="E447" s="821" t="s">
        <v>880</v>
      </c>
      <c r="F447" s="821" t="s">
        <v>881</v>
      </c>
      <c r="G447" s="821" t="s">
        <v>882</v>
      </c>
      <c r="H447" s="821" t="s">
        <v>883</v>
      </c>
      <c r="I447" s="821" t="s">
        <v>968</v>
      </c>
      <c r="J447" s="821" t="s">
        <v>885</v>
      </c>
      <c r="K447" s="821" t="s">
        <v>886</v>
      </c>
      <c r="L447" s="821" t="s">
        <v>968</v>
      </c>
      <c r="M447" s="821" t="s">
        <v>1105</v>
      </c>
      <c r="N447" s="821" t="s">
        <v>888</v>
      </c>
      <c r="O447" s="821" t="s">
        <v>886</v>
      </c>
      <c r="P447" s="533">
        <v>929509</v>
      </c>
      <c r="Q447" s="820">
        <v>-9295.09</v>
      </c>
      <c r="R447" t="str">
        <f t="shared" si="8"/>
        <v>201705</v>
      </c>
      <c r="S447" s="405">
        <f>-Q447</f>
        <v>9295.09</v>
      </c>
    </row>
    <row r="448" spans="1:19">
      <c r="A448" s="821" t="s">
        <v>877</v>
      </c>
      <c r="B448" s="821" t="s">
        <v>878</v>
      </c>
      <c r="C448" s="821" t="s">
        <v>879</v>
      </c>
      <c r="D448" s="821" t="s">
        <v>880</v>
      </c>
      <c r="E448" s="821" t="s">
        <v>880</v>
      </c>
      <c r="F448" s="821" t="s">
        <v>881</v>
      </c>
      <c r="G448" s="821" t="s">
        <v>882</v>
      </c>
      <c r="H448" s="821" t="s">
        <v>883</v>
      </c>
      <c r="I448" s="821" t="s">
        <v>968</v>
      </c>
      <c r="J448" s="821" t="s">
        <v>885</v>
      </c>
      <c r="K448" s="821" t="s">
        <v>886</v>
      </c>
      <c r="L448" s="821" t="s">
        <v>968</v>
      </c>
      <c r="M448" s="821" t="s">
        <v>1105</v>
      </c>
      <c r="N448" s="821" t="s">
        <v>888</v>
      </c>
      <c r="O448" s="821" t="s">
        <v>886</v>
      </c>
      <c r="P448" s="533">
        <v>19965379</v>
      </c>
      <c r="Q448" s="794">
        <v>-199653.79</v>
      </c>
      <c r="R448" t="str">
        <f t="shared" si="8"/>
        <v>201705</v>
      </c>
      <c r="S448" s="405">
        <f>-Q448</f>
        <v>199653.79</v>
      </c>
    </row>
    <row r="449" spans="1:19">
      <c r="A449" s="821" t="s">
        <v>877</v>
      </c>
      <c r="B449" s="821" t="s">
        <v>878</v>
      </c>
      <c r="C449" s="821" t="s">
        <v>879</v>
      </c>
      <c r="D449" s="821" t="s">
        <v>880</v>
      </c>
      <c r="E449" s="821" t="s">
        <v>880</v>
      </c>
      <c r="F449" s="821" t="s">
        <v>881</v>
      </c>
      <c r="G449" s="821" t="s">
        <v>882</v>
      </c>
      <c r="H449" s="821" t="s">
        <v>883</v>
      </c>
      <c r="I449" s="821" t="s">
        <v>969</v>
      </c>
      <c r="J449" s="821" t="s">
        <v>885</v>
      </c>
      <c r="K449" s="821" t="s">
        <v>886</v>
      </c>
      <c r="L449" s="821" t="s">
        <v>969</v>
      </c>
      <c r="M449" s="821" t="s">
        <v>1105</v>
      </c>
      <c r="N449" s="821" t="s">
        <v>886</v>
      </c>
      <c r="O449" s="821" t="s">
        <v>886</v>
      </c>
      <c r="P449" s="533">
        <v>641526</v>
      </c>
      <c r="Q449" s="820">
        <v>6415.26</v>
      </c>
      <c r="R449" t="str">
        <f t="shared" si="8"/>
        <v>201705</v>
      </c>
      <c r="S449" s="405">
        <f>Q449</f>
        <v>6415.26</v>
      </c>
    </row>
    <row r="450" spans="1:19">
      <c r="A450" s="821" t="s">
        <v>877</v>
      </c>
      <c r="B450" s="821" t="s">
        <v>878</v>
      </c>
      <c r="C450" s="821" t="s">
        <v>879</v>
      </c>
      <c r="D450" s="821" t="s">
        <v>880</v>
      </c>
      <c r="E450" s="821" t="s">
        <v>880</v>
      </c>
      <c r="F450" s="821" t="s">
        <v>881</v>
      </c>
      <c r="G450" s="821" t="s">
        <v>882</v>
      </c>
      <c r="H450" s="821" t="s">
        <v>883</v>
      </c>
      <c r="I450" s="821" t="s">
        <v>970</v>
      </c>
      <c r="J450" s="821" t="s">
        <v>885</v>
      </c>
      <c r="K450" s="821" t="s">
        <v>886</v>
      </c>
      <c r="L450" s="821" t="s">
        <v>970</v>
      </c>
      <c r="M450" s="821" t="s">
        <v>1105</v>
      </c>
      <c r="N450" s="821" t="s">
        <v>886</v>
      </c>
      <c r="O450" s="821" t="s">
        <v>886</v>
      </c>
      <c r="P450" s="533">
        <v>117770</v>
      </c>
      <c r="Q450" s="820">
        <v>1177.7</v>
      </c>
      <c r="R450" t="str">
        <f t="shared" si="8"/>
        <v>201705</v>
      </c>
      <c r="S450" s="405">
        <f>Q450</f>
        <v>1177.7</v>
      </c>
    </row>
    <row r="451" spans="1:19">
      <c r="A451" s="821" t="s">
        <v>877</v>
      </c>
      <c r="B451" s="821" t="s">
        <v>878</v>
      </c>
      <c r="C451" s="821" t="s">
        <v>879</v>
      </c>
      <c r="D451" s="821" t="s">
        <v>880</v>
      </c>
      <c r="E451" s="821" t="s">
        <v>880</v>
      </c>
      <c r="F451" s="821" t="s">
        <v>881</v>
      </c>
      <c r="G451" s="821" t="s">
        <v>882</v>
      </c>
      <c r="H451" s="821" t="s">
        <v>883</v>
      </c>
      <c r="I451" s="821" t="s">
        <v>971</v>
      </c>
      <c r="J451" s="821" t="s">
        <v>885</v>
      </c>
      <c r="K451" s="821" t="s">
        <v>886</v>
      </c>
      <c r="L451" s="821" t="s">
        <v>971</v>
      </c>
      <c r="M451" s="821" t="s">
        <v>1105</v>
      </c>
      <c r="N451" s="821" t="s">
        <v>888</v>
      </c>
      <c r="O451" s="821" t="s">
        <v>886</v>
      </c>
      <c r="P451" s="533">
        <v>365424</v>
      </c>
      <c r="Q451" s="820">
        <v>-3654.24</v>
      </c>
      <c r="R451" t="str">
        <f t="shared" ref="R451:R514" si="10">MID(L451,1,6)</f>
        <v>201705</v>
      </c>
      <c r="S451" s="405">
        <f>-Q451</f>
        <v>3654.24</v>
      </c>
    </row>
    <row r="452" spans="1:19">
      <c r="A452" s="821" t="s">
        <v>877</v>
      </c>
      <c r="B452" s="821" t="s">
        <v>878</v>
      </c>
      <c r="C452" s="821" t="s">
        <v>879</v>
      </c>
      <c r="D452" s="821" t="s">
        <v>880</v>
      </c>
      <c r="E452" s="821" t="s">
        <v>880</v>
      </c>
      <c r="F452" s="821" t="s">
        <v>881</v>
      </c>
      <c r="G452" s="821" t="s">
        <v>882</v>
      </c>
      <c r="H452" s="821" t="s">
        <v>883</v>
      </c>
      <c r="I452" s="821" t="s">
        <v>972</v>
      </c>
      <c r="J452" s="821" t="s">
        <v>885</v>
      </c>
      <c r="K452" s="821" t="s">
        <v>886</v>
      </c>
      <c r="L452" s="821" t="s">
        <v>972</v>
      </c>
      <c r="M452" s="821" t="s">
        <v>1105</v>
      </c>
      <c r="N452" s="821" t="s">
        <v>886</v>
      </c>
      <c r="O452" s="821" t="s">
        <v>886</v>
      </c>
      <c r="P452" s="533">
        <v>637342</v>
      </c>
      <c r="Q452" s="820">
        <v>6373.42</v>
      </c>
      <c r="R452" t="str">
        <f t="shared" si="10"/>
        <v>201705</v>
      </c>
      <c r="S452" s="405">
        <f>Q452</f>
        <v>6373.42</v>
      </c>
    </row>
    <row r="453" spans="1:19">
      <c r="A453" s="821" t="s">
        <v>877</v>
      </c>
      <c r="B453" s="821" t="s">
        <v>878</v>
      </c>
      <c r="C453" s="821" t="s">
        <v>879</v>
      </c>
      <c r="D453" s="821" t="s">
        <v>880</v>
      </c>
      <c r="E453" s="821" t="s">
        <v>880</v>
      </c>
      <c r="F453" s="821" t="s">
        <v>881</v>
      </c>
      <c r="G453" s="821" t="s">
        <v>882</v>
      </c>
      <c r="H453" s="821" t="s">
        <v>883</v>
      </c>
      <c r="I453" s="821" t="s">
        <v>972</v>
      </c>
      <c r="J453" s="821" t="s">
        <v>885</v>
      </c>
      <c r="K453" s="821" t="s">
        <v>886</v>
      </c>
      <c r="L453" s="821" t="s">
        <v>972</v>
      </c>
      <c r="M453" s="821" t="s">
        <v>1105</v>
      </c>
      <c r="N453" s="821" t="s">
        <v>886</v>
      </c>
      <c r="O453" s="821" t="s">
        <v>886</v>
      </c>
      <c r="P453" s="533">
        <v>10000000</v>
      </c>
      <c r="Q453" s="823"/>
      <c r="R453" t="str">
        <f t="shared" si="10"/>
        <v>201705</v>
      </c>
      <c r="S453" s="405">
        <f>Q453</f>
        <v>0</v>
      </c>
    </row>
    <row r="454" spans="1:19">
      <c r="A454" s="821" t="s">
        <v>877</v>
      </c>
      <c r="B454" s="821" t="s">
        <v>878</v>
      </c>
      <c r="C454" s="821" t="s">
        <v>879</v>
      </c>
      <c r="D454" s="821" t="s">
        <v>880</v>
      </c>
      <c r="E454" s="821" t="s">
        <v>880</v>
      </c>
      <c r="F454" s="821" t="s">
        <v>881</v>
      </c>
      <c r="G454" s="821" t="s">
        <v>882</v>
      </c>
      <c r="H454" s="821" t="s">
        <v>883</v>
      </c>
      <c r="I454" s="821" t="s">
        <v>973</v>
      </c>
      <c r="J454" s="821" t="s">
        <v>885</v>
      </c>
      <c r="K454" s="821" t="s">
        <v>886</v>
      </c>
      <c r="L454" s="821" t="s">
        <v>973</v>
      </c>
      <c r="M454" s="821" t="s">
        <v>1105</v>
      </c>
      <c r="N454" s="821" t="s">
        <v>888</v>
      </c>
      <c r="O454" s="821" t="s">
        <v>886</v>
      </c>
      <c r="P454" s="533">
        <v>786662</v>
      </c>
      <c r="Q454" s="820">
        <v>-7866.62</v>
      </c>
      <c r="R454" t="str">
        <f t="shared" si="10"/>
        <v>201705</v>
      </c>
      <c r="S454" s="405">
        <f>-Q454</f>
        <v>7866.62</v>
      </c>
    </row>
    <row r="455" spans="1:19">
      <c r="A455" s="821" t="s">
        <v>877</v>
      </c>
      <c r="B455" s="821" t="s">
        <v>878</v>
      </c>
      <c r="C455" s="821" t="s">
        <v>879</v>
      </c>
      <c r="D455" s="821" t="s">
        <v>880</v>
      </c>
      <c r="E455" s="821" t="s">
        <v>880</v>
      </c>
      <c r="F455" s="821" t="s">
        <v>881</v>
      </c>
      <c r="G455" s="821" t="s">
        <v>882</v>
      </c>
      <c r="H455" s="821" t="s">
        <v>883</v>
      </c>
      <c r="I455" s="821" t="s">
        <v>974</v>
      </c>
      <c r="J455" s="821" t="s">
        <v>885</v>
      </c>
      <c r="K455" s="821" t="s">
        <v>886</v>
      </c>
      <c r="L455" s="821" t="s">
        <v>974</v>
      </c>
      <c r="M455" s="821" t="s">
        <v>1105</v>
      </c>
      <c r="N455" s="821" t="s">
        <v>888</v>
      </c>
      <c r="O455" s="821" t="s">
        <v>886</v>
      </c>
      <c r="P455" s="533">
        <v>10505</v>
      </c>
      <c r="Q455" s="820">
        <v>-105.05</v>
      </c>
      <c r="R455" t="str">
        <f t="shared" si="10"/>
        <v>201705</v>
      </c>
      <c r="S455" s="405">
        <f>-Q455</f>
        <v>105.05</v>
      </c>
    </row>
    <row r="456" spans="1:19">
      <c r="A456" s="821" t="s">
        <v>877</v>
      </c>
      <c r="B456" s="821" t="s">
        <v>878</v>
      </c>
      <c r="C456" s="821" t="s">
        <v>879</v>
      </c>
      <c r="D456" s="821" t="s">
        <v>880</v>
      </c>
      <c r="E456" s="821" t="s">
        <v>880</v>
      </c>
      <c r="F456" s="821" t="s">
        <v>881</v>
      </c>
      <c r="G456" s="821" t="s">
        <v>882</v>
      </c>
      <c r="H456" s="821" t="s">
        <v>883</v>
      </c>
      <c r="I456" s="821" t="s">
        <v>975</v>
      </c>
      <c r="J456" s="821" t="s">
        <v>885</v>
      </c>
      <c r="K456" s="821" t="s">
        <v>886</v>
      </c>
      <c r="L456" s="821" t="s">
        <v>975</v>
      </c>
      <c r="M456" s="821" t="s">
        <v>1105</v>
      </c>
      <c r="N456" s="821" t="s">
        <v>888</v>
      </c>
      <c r="O456" s="821" t="s">
        <v>886</v>
      </c>
      <c r="P456" s="533">
        <v>8416</v>
      </c>
      <c r="Q456" s="820">
        <v>-84.16</v>
      </c>
      <c r="R456" t="str">
        <f t="shared" si="10"/>
        <v>201705</v>
      </c>
      <c r="S456" s="405">
        <f>-Q456</f>
        <v>84.16</v>
      </c>
    </row>
    <row r="457" spans="1:19">
      <c r="A457" s="821" t="s">
        <v>877</v>
      </c>
      <c r="B457" s="821" t="s">
        <v>878</v>
      </c>
      <c r="C457" s="821" t="s">
        <v>879</v>
      </c>
      <c r="D457" s="821" t="s">
        <v>880</v>
      </c>
      <c r="E457" s="821" t="s">
        <v>880</v>
      </c>
      <c r="F457" s="821" t="s">
        <v>881</v>
      </c>
      <c r="G457" s="821" t="s">
        <v>882</v>
      </c>
      <c r="H457" s="821" t="s">
        <v>883</v>
      </c>
      <c r="I457" s="821" t="s">
        <v>976</v>
      </c>
      <c r="J457" s="821" t="s">
        <v>885</v>
      </c>
      <c r="K457" s="821" t="s">
        <v>886</v>
      </c>
      <c r="L457" s="821" t="s">
        <v>976</v>
      </c>
      <c r="M457" s="821" t="s">
        <v>1105</v>
      </c>
      <c r="N457" s="821" t="s">
        <v>886</v>
      </c>
      <c r="O457" s="821" t="s">
        <v>886</v>
      </c>
      <c r="P457" s="533">
        <v>2156270</v>
      </c>
      <c r="Q457" s="820">
        <v>21562.7</v>
      </c>
      <c r="R457" t="str">
        <f t="shared" si="10"/>
        <v>201705</v>
      </c>
      <c r="S457" s="405">
        <f>Q457</f>
        <v>21562.7</v>
      </c>
    </row>
    <row r="458" spans="1:19">
      <c r="A458" s="821" t="s">
        <v>877</v>
      </c>
      <c r="B458" s="821" t="s">
        <v>878</v>
      </c>
      <c r="C458" s="821" t="s">
        <v>879</v>
      </c>
      <c r="D458" s="821" t="s">
        <v>880</v>
      </c>
      <c r="E458" s="821" t="s">
        <v>880</v>
      </c>
      <c r="F458" s="821" t="s">
        <v>881</v>
      </c>
      <c r="G458" s="821" t="s">
        <v>882</v>
      </c>
      <c r="H458" s="821" t="s">
        <v>883</v>
      </c>
      <c r="I458" s="821" t="s">
        <v>976</v>
      </c>
      <c r="J458" s="821" t="s">
        <v>885</v>
      </c>
      <c r="K458" s="821" t="s">
        <v>886</v>
      </c>
      <c r="L458" s="821" t="s">
        <v>976</v>
      </c>
      <c r="M458" s="821" t="s">
        <v>1105</v>
      </c>
      <c r="N458" s="821" t="s">
        <v>886</v>
      </c>
      <c r="O458" s="821" t="s">
        <v>886</v>
      </c>
      <c r="P458" s="533">
        <v>100000000</v>
      </c>
      <c r="Q458" s="794">
        <v>1000000</v>
      </c>
      <c r="R458" t="str">
        <f t="shared" si="10"/>
        <v>201705</v>
      </c>
      <c r="S458" s="405">
        <f>Q458</f>
        <v>1000000</v>
      </c>
    </row>
    <row r="459" spans="1:19">
      <c r="A459" s="821" t="s">
        <v>877</v>
      </c>
      <c r="B459" s="821" t="s">
        <v>878</v>
      </c>
      <c r="C459" s="821" t="s">
        <v>879</v>
      </c>
      <c r="D459" s="821" t="s">
        <v>880</v>
      </c>
      <c r="E459" s="821" t="s">
        <v>880</v>
      </c>
      <c r="F459" s="821" t="s">
        <v>881</v>
      </c>
      <c r="G459" s="821" t="s">
        <v>882</v>
      </c>
      <c r="H459" s="821" t="s">
        <v>883</v>
      </c>
      <c r="I459" s="821" t="s">
        <v>976</v>
      </c>
      <c r="J459" s="821" t="s">
        <v>885</v>
      </c>
      <c r="K459" s="821" t="s">
        <v>886</v>
      </c>
      <c r="L459" s="821" t="s">
        <v>976</v>
      </c>
      <c r="M459" s="821" t="s">
        <v>1105</v>
      </c>
      <c r="N459" s="821" t="s">
        <v>888</v>
      </c>
      <c r="O459" s="821" t="s">
        <v>886</v>
      </c>
      <c r="P459" s="533">
        <v>1938406</v>
      </c>
      <c r="Q459" s="820">
        <v>-19384.060000000001</v>
      </c>
      <c r="R459" t="str">
        <f t="shared" si="10"/>
        <v>201705</v>
      </c>
      <c r="S459" s="405">
        <f>-Q459</f>
        <v>19384.060000000001</v>
      </c>
    </row>
    <row r="460" spans="1:19">
      <c r="A460" s="821" t="s">
        <v>877</v>
      </c>
      <c r="B460" s="821" t="s">
        <v>878</v>
      </c>
      <c r="C460" s="821" t="s">
        <v>879</v>
      </c>
      <c r="D460" s="821" t="s">
        <v>880</v>
      </c>
      <c r="E460" s="821" t="s">
        <v>880</v>
      </c>
      <c r="F460" s="821" t="s">
        <v>881</v>
      </c>
      <c r="G460" s="821" t="s">
        <v>882</v>
      </c>
      <c r="H460" s="821" t="s">
        <v>883</v>
      </c>
      <c r="I460" s="821" t="s">
        <v>976</v>
      </c>
      <c r="J460" s="821" t="s">
        <v>885</v>
      </c>
      <c r="K460" s="821" t="s">
        <v>886</v>
      </c>
      <c r="L460" s="821" t="s">
        <v>976</v>
      </c>
      <c r="M460" s="821" t="s">
        <v>1105</v>
      </c>
      <c r="N460" s="821" t="s">
        <v>886</v>
      </c>
      <c r="O460" s="821" t="s">
        <v>886</v>
      </c>
      <c r="P460" s="533">
        <v>10900000</v>
      </c>
      <c r="Q460" s="794">
        <v>109000</v>
      </c>
      <c r="R460" t="str">
        <f t="shared" si="10"/>
        <v>201705</v>
      </c>
      <c r="S460" s="405">
        <f t="shared" ref="S460:S468" si="11">Q460</f>
        <v>109000</v>
      </c>
    </row>
    <row r="461" spans="1:19">
      <c r="A461" s="821" t="s">
        <v>877</v>
      </c>
      <c r="B461" s="821" t="s">
        <v>878</v>
      </c>
      <c r="C461" s="821" t="s">
        <v>879</v>
      </c>
      <c r="D461" s="821" t="s">
        <v>880</v>
      </c>
      <c r="E461" s="821" t="s">
        <v>880</v>
      </c>
      <c r="F461" s="821" t="s">
        <v>881</v>
      </c>
      <c r="G461" s="821" t="s">
        <v>882</v>
      </c>
      <c r="H461" s="821" t="s">
        <v>883</v>
      </c>
      <c r="I461" s="821" t="s">
        <v>976</v>
      </c>
      <c r="J461" s="821" t="s">
        <v>885</v>
      </c>
      <c r="K461" s="821" t="s">
        <v>886</v>
      </c>
      <c r="L461" s="821" t="s">
        <v>976</v>
      </c>
      <c r="M461" s="821" t="s">
        <v>1105</v>
      </c>
      <c r="N461" s="821" t="s">
        <v>886</v>
      </c>
      <c r="O461" s="821" t="s">
        <v>886</v>
      </c>
      <c r="P461" s="533">
        <v>25000000</v>
      </c>
      <c r="Q461" s="794">
        <v>250000</v>
      </c>
      <c r="R461" t="str">
        <f t="shared" si="10"/>
        <v>201705</v>
      </c>
      <c r="S461" s="405">
        <f t="shared" si="11"/>
        <v>250000</v>
      </c>
    </row>
    <row r="462" spans="1:19">
      <c r="A462" s="821" t="s">
        <v>877</v>
      </c>
      <c r="B462" s="821" t="s">
        <v>878</v>
      </c>
      <c r="C462" s="821" t="s">
        <v>879</v>
      </c>
      <c r="D462" s="821" t="s">
        <v>880</v>
      </c>
      <c r="E462" s="821" t="s">
        <v>880</v>
      </c>
      <c r="F462" s="821" t="s">
        <v>881</v>
      </c>
      <c r="G462" s="821" t="s">
        <v>882</v>
      </c>
      <c r="H462" s="821" t="s">
        <v>883</v>
      </c>
      <c r="I462" s="821" t="s">
        <v>976</v>
      </c>
      <c r="J462" s="821" t="s">
        <v>885</v>
      </c>
      <c r="K462" s="821" t="s">
        <v>886</v>
      </c>
      <c r="L462" s="821" t="s">
        <v>976</v>
      </c>
      <c r="M462" s="821" t="s">
        <v>1105</v>
      </c>
      <c r="N462" s="821" t="s">
        <v>886</v>
      </c>
      <c r="O462" s="821" t="s">
        <v>886</v>
      </c>
      <c r="P462" s="533">
        <v>25000000</v>
      </c>
      <c r="Q462" s="794">
        <v>250000</v>
      </c>
      <c r="R462" t="str">
        <f t="shared" si="10"/>
        <v>201705</v>
      </c>
      <c r="S462" s="405">
        <f t="shared" si="11"/>
        <v>250000</v>
      </c>
    </row>
    <row r="463" spans="1:19">
      <c r="A463" s="821" t="s">
        <v>877</v>
      </c>
      <c r="B463" s="821" t="s">
        <v>878</v>
      </c>
      <c r="C463" s="821" t="s">
        <v>879</v>
      </c>
      <c r="D463" s="821" t="s">
        <v>880</v>
      </c>
      <c r="E463" s="821" t="s">
        <v>880</v>
      </c>
      <c r="F463" s="821" t="s">
        <v>881</v>
      </c>
      <c r="G463" s="821" t="s">
        <v>882</v>
      </c>
      <c r="H463" s="821" t="s">
        <v>883</v>
      </c>
      <c r="I463" s="821" t="s">
        <v>977</v>
      </c>
      <c r="J463" s="821" t="s">
        <v>885</v>
      </c>
      <c r="K463" s="821" t="s">
        <v>886</v>
      </c>
      <c r="L463" s="821" t="s">
        <v>977</v>
      </c>
      <c r="M463" s="821" t="s">
        <v>1105</v>
      </c>
      <c r="N463" s="821" t="s">
        <v>886</v>
      </c>
      <c r="O463" s="821" t="s">
        <v>886</v>
      </c>
      <c r="P463" s="533">
        <v>182917</v>
      </c>
      <c r="Q463" s="820">
        <v>1829.17</v>
      </c>
      <c r="R463" t="str">
        <f t="shared" si="10"/>
        <v>201706</v>
      </c>
      <c r="S463" s="405">
        <f t="shared" si="11"/>
        <v>1829.17</v>
      </c>
    </row>
    <row r="464" spans="1:19">
      <c r="A464" s="821" t="s">
        <v>877</v>
      </c>
      <c r="B464" s="821" t="s">
        <v>878</v>
      </c>
      <c r="C464" s="821" t="s">
        <v>879</v>
      </c>
      <c r="D464" s="821" t="s">
        <v>880</v>
      </c>
      <c r="E464" s="821" t="s">
        <v>880</v>
      </c>
      <c r="F464" s="821" t="s">
        <v>881</v>
      </c>
      <c r="G464" s="821" t="s">
        <v>882</v>
      </c>
      <c r="H464" s="821" t="s">
        <v>883</v>
      </c>
      <c r="I464" s="821" t="s">
        <v>977</v>
      </c>
      <c r="J464" s="821" t="s">
        <v>885</v>
      </c>
      <c r="K464" s="821" t="s">
        <v>886</v>
      </c>
      <c r="L464" s="821" t="s">
        <v>977</v>
      </c>
      <c r="M464" s="821" t="s">
        <v>1105</v>
      </c>
      <c r="N464" s="821" t="s">
        <v>886</v>
      </c>
      <c r="O464" s="821" t="s">
        <v>886</v>
      </c>
      <c r="P464" s="533">
        <v>20000000</v>
      </c>
      <c r="Q464" s="794">
        <v>200000</v>
      </c>
      <c r="R464" t="str">
        <f t="shared" si="10"/>
        <v>201706</v>
      </c>
      <c r="S464" s="405">
        <f t="shared" si="11"/>
        <v>200000</v>
      </c>
    </row>
    <row r="465" spans="1:19">
      <c r="A465" s="821" t="s">
        <v>877</v>
      </c>
      <c r="B465" s="821" t="s">
        <v>878</v>
      </c>
      <c r="C465" s="821" t="s">
        <v>879</v>
      </c>
      <c r="D465" s="821" t="s">
        <v>880</v>
      </c>
      <c r="E465" s="821" t="s">
        <v>880</v>
      </c>
      <c r="F465" s="821" t="s">
        <v>881</v>
      </c>
      <c r="G465" s="821" t="s">
        <v>882</v>
      </c>
      <c r="H465" s="821" t="s">
        <v>883</v>
      </c>
      <c r="I465" s="821" t="s">
        <v>977</v>
      </c>
      <c r="J465" s="821" t="s">
        <v>885</v>
      </c>
      <c r="K465" s="821" t="s">
        <v>886</v>
      </c>
      <c r="L465" s="821" t="s">
        <v>977</v>
      </c>
      <c r="M465" s="821" t="s">
        <v>1105</v>
      </c>
      <c r="N465" s="821" t="s">
        <v>886</v>
      </c>
      <c r="O465" s="821" t="s">
        <v>886</v>
      </c>
      <c r="P465" s="533">
        <v>40000000</v>
      </c>
      <c r="Q465" s="794">
        <v>400000</v>
      </c>
      <c r="R465" t="str">
        <f t="shared" si="10"/>
        <v>201706</v>
      </c>
      <c r="S465" s="405">
        <f t="shared" si="11"/>
        <v>400000</v>
      </c>
    </row>
    <row r="466" spans="1:19">
      <c r="A466" s="821" t="s">
        <v>877</v>
      </c>
      <c r="B466" s="821" t="s">
        <v>878</v>
      </c>
      <c r="C466" s="821" t="s">
        <v>879</v>
      </c>
      <c r="D466" s="821" t="s">
        <v>880</v>
      </c>
      <c r="E466" s="821" t="s">
        <v>880</v>
      </c>
      <c r="F466" s="821" t="s">
        <v>881</v>
      </c>
      <c r="G466" s="821" t="s">
        <v>882</v>
      </c>
      <c r="H466" s="821" t="s">
        <v>883</v>
      </c>
      <c r="I466" s="821" t="s">
        <v>978</v>
      </c>
      <c r="J466" s="821" t="s">
        <v>885</v>
      </c>
      <c r="K466" s="821" t="s">
        <v>886</v>
      </c>
      <c r="L466" s="821" t="s">
        <v>978</v>
      </c>
      <c r="M466" s="821" t="s">
        <v>1105</v>
      </c>
      <c r="N466" s="821" t="s">
        <v>886</v>
      </c>
      <c r="O466" s="821" t="s">
        <v>886</v>
      </c>
      <c r="P466" s="533">
        <v>384224</v>
      </c>
      <c r="Q466" s="820">
        <v>3842.24</v>
      </c>
      <c r="R466" t="str">
        <f t="shared" si="10"/>
        <v>201706</v>
      </c>
      <c r="S466" s="405">
        <f t="shared" si="11"/>
        <v>3842.24</v>
      </c>
    </row>
    <row r="467" spans="1:19">
      <c r="A467" s="821" t="s">
        <v>877</v>
      </c>
      <c r="B467" s="821" t="s">
        <v>878</v>
      </c>
      <c r="C467" s="821" t="s">
        <v>879</v>
      </c>
      <c r="D467" s="821" t="s">
        <v>880</v>
      </c>
      <c r="E467" s="821" t="s">
        <v>880</v>
      </c>
      <c r="F467" s="821" t="s">
        <v>881</v>
      </c>
      <c r="G467" s="821" t="s">
        <v>882</v>
      </c>
      <c r="H467" s="821" t="s">
        <v>883</v>
      </c>
      <c r="I467" s="821" t="s">
        <v>979</v>
      </c>
      <c r="J467" s="821" t="s">
        <v>885</v>
      </c>
      <c r="K467" s="821" t="s">
        <v>886</v>
      </c>
      <c r="L467" s="821" t="s">
        <v>979</v>
      </c>
      <c r="M467" s="821" t="s">
        <v>1105</v>
      </c>
      <c r="N467" s="821" t="s">
        <v>886</v>
      </c>
      <c r="O467" s="821" t="s">
        <v>886</v>
      </c>
      <c r="P467" s="533">
        <v>1700754</v>
      </c>
      <c r="Q467" s="820">
        <v>17007.54</v>
      </c>
      <c r="R467" t="str">
        <f t="shared" si="10"/>
        <v>201706</v>
      </c>
      <c r="S467" s="405">
        <f t="shared" si="11"/>
        <v>17007.54</v>
      </c>
    </row>
    <row r="468" spans="1:19">
      <c r="A468" s="821" t="s">
        <v>877</v>
      </c>
      <c r="B468" s="821" t="s">
        <v>878</v>
      </c>
      <c r="C468" s="821" t="s">
        <v>879</v>
      </c>
      <c r="D468" s="821" t="s">
        <v>880</v>
      </c>
      <c r="E468" s="821" t="s">
        <v>880</v>
      </c>
      <c r="F468" s="821" t="s">
        <v>881</v>
      </c>
      <c r="G468" s="821" t="s">
        <v>882</v>
      </c>
      <c r="H468" s="821" t="s">
        <v>883</v>
      </c>
      <c r="I468" s="821" t="s">
        <v>980</v>
      </c>
      <c r="J468" s="821" t="s">
        <v>885</v>
      </c>
      <c r="K468" s="821" t="s">
        <v>886</v>
      </c>
      <c r="L468" s="821" t="s">
        <v>980</v>
      </c>
      <c r="M468" s="821" t="s">
        <v>1105</v>
      </c>
      <c r="N468" s="821" t="s">
        <v>886</v>
      </c>
      <c r="O468" s="821" t="s">
        <v>886</v>
      </c>
      <c r="P468" s="533">
        <v>1055734</v>
      </c>
      <c r="Q468" s="820">
        <v>10557.34</v>
      </c>
      <c r="R468" t="str">
        <f t="shared" si="10"/>
        <v>201706</v>
      </c>
      <c r="S468" s="405">
        <f t="shared" si="11"/>
        <v>10557.34</v>
      </c>
    </row>
    <row r="469" spans="1:19">
      <c r="A469" s="821" t="s">
        <v>877</v>
      </c>
      <c r="B469" s="821" t="s">
        <v>878</v>
      </c>
      <c r="C469" s="821" t="s">
        <v>879</v>
      </c>
      <c r="D469" s="821" t="s">
        <v>880</v>
      </c>
      <c r="E469" s="821" t="s">
        <v>880</v>
      </c>
      <c r="F469" s="821" t="s">
        <v>881</v>
      </c>
      <c r="G469" s="821" t="s">
        <v>882</v>
      </c>
      <c r="H469" s="821" t="s">
        <v>883</v>
      </c>
      <c r="I469" s="821" t="s">
        <v>981</v>
      </c>
      <c r="J469" s="821" t="s">
        <v>885</v>
      </c>
      <c r="K469" s="821" t="s">
        <v>886</v>
      </c>
      <c r="L469" s="821" t="s">
        <v>981</v>
      </c>
      <c r="M469" s="821" t="s">
        <v>1105</v>
      </c>
      <c r="N469" s="821" t="s">
        <v>888</v>
      </c>
      <c r="O469" s="821" t="s">
        <v>886</v>
      </c>
      <c r="P469" s="533">
        <v>467859</v>
      </c>
      <c r="Q469" s="820">
        <v>-4678.59</v>
      </c>
      <c r="R469" t="str">
        <f t="shared" si="10"/>
        <v>201706</v>
      </c>
      <c r="S469" s="405">
        <f>-Q469</f>
        <v>4678.59</v>
      </c>
    </row>
    <row r="470" spans="1:19">
      <c r="A470" s="821" t="s">
        <v>877</v>
      </c>
      <c r="B470" s="821" t="s">
        <v>878</v>
      </c>
      <c r="C470" s="821" t="s">
        <v>879</v>
      </c>
      <c r="D470" s="821" t="s">
        <v>880</v>
      </c>
      <c r="E470" s="821" t="s">
        <v>880</v>
      </c>
      <c r="F470" s="821" t="s">
        <v>881</v>
      </c>
      <c r="G470" s="821" t="s">
        <v>882</v>
      </c>
      <c r="H470" s="821" t="s">
        <v>883</v>
      </c>
      <c r="I470" s="821" t="s">
        <v>982</v>
      </c>
      <c r="J470" s="821" t="s">
        <v>885</v>
      </c>
      <c r="K470" s="821" t="s">
        <v>886</v>
      </c>
      <c r="L470" s="821" t="s">
        <v>982</v>
      </c>
      <c r="M470" s="821" t="s">
        <v>1105</v>
      </c>
      <c r="N470" s="821" t="s">
        <v>888</v>
      </c>
      <c r="O470" s="821" t="s">
        <v>886</v>
      </c>
      <c r="P470" s="533">
        <v>640470</v>
      </c>
      <c r="Q470" s="820">
        <v>-6404.7</v>
      </c>
      <c r="R470" t="str">
        <f t="shared" si="10"/>
        <v>201706</v>
      </c>
      <c r="S470" s="405">
        <f>-Q470</f>
        <v>6404.7</v>
      </c>
    </row>
    <row r="471" spans="1:19">
      <c r="A471" s="821" t="s">
        <v>877</v>
      </c>
      <c r="B471" s="821" t="s">
        <v>878</v>
      </c>
      <c r="C471" s="821" t="s">
        <v>879</v>
      </c>
      <c r="D471" s="821" t="s">
        <v>880</v>
      </c>
      <c r="E471" s="821" t="s">
        <v>880</v>
      </c>
      <c r="F471" s="821" t="s">
        <v>881</v>
      </c>
      <c r="G471" s="821" t="s">
        <v>882</v>
      </c>
      <c r="H471" s="821" t="s">
        <v>883</v>
      </c>
      <c r="I471" s="821" t="s">
        <v>983</v>
      </c>
      <c r="J471" s="821" t="s">
        <v>885</v>
      </c>
      <c r="K471" s="821" t="s">
        <v>886</v>
      </c>
      <c r="L471" s="821" t="s">
        <v>983</v>
      </c>
      <c r="M471" s="821" t="s">
        <v>1105</v>
      </c>
      <c r="N471" s="821" t="s">
        <v>888</v>
      </c>
      <c r="O471" s="821" t="s">
        <v>886</v>
      </c>
      <c r="P471" s="533">
        <v>225196</v>
      </c>
      <c r="Q471" s="820">
        <v>-2251.96</v>
      </c>
      <c r="R471" t="str">
        <f t="shared" si="10"/>
        <v>201706</v>
      </c>
      <c r="S471" s="405">
        <f>-Q471</f>
        <v>2251.96</v>
      </c>
    </row>
    <row r="472" spans="1:19">
      <c r="A472" s="821" t="s">
        <v>877</v>
      </c>
      <c r="B472" s="821" t="s">
        <v>878</v>
      </c>
      <c r="C472" s="821" t="s">
        <v>879</v>
      </c>
      <c r="D472" s="821" t="s">
        <v>880</v>
      </c>
      <c r="E472" s="821" t="s">
        <v>880</v>
      </c>
      <c r="F472" s="821" t="s">
        <v>881</v>
      </c>
      <c r="G472" s="821" t="s">
        <v>882</v>
      </c>
      <c r="H472" s="821" t="s">
        <v>883</v>
      </c>
      <c r="I472" s="821" t="s">
        <v>984</v>
      </c>
      <c r="J472" s="821" t="s">
        <v>885</v>
      </c>
      <c r="K472" s="821" t="s">
        <v>886</v>
      </c>
      <c r="L472" s="821" t="s">
        <v>984</v>
      </c>
      <c r="M472" s="821" t="s">
        <v>1105</v>
      </c>
      <c r="N472" s="821" t="s">
        <v>886</v>
      </c>
      <c r="O472" s="821" t="s">
        <v>886</v>
      </c>
      <c r="P472" s="533">
        <v>178348</v>
      </c>
      <c r="Q472" s="820">
        <v>1783.48</v>
      </c>
      <c r="R472" t="str">
        <f t="shared" si="10"/>
        <v>201706</v>
      </c>
      <c r="S472" s="405">
        <f>Q472</f>
        <v>1783.48</v>
      </c>
    </row>
    <row r="473" spans="1:19">
      <c r="A473" s="821" t="s">
        <v>877</v>
      </c>
      <c r="B473" s="821" t="s">
        <v>878</v>
      </c>
      <c r="C473" s="821" t="s">
        <v>879</v>
      </c>
      <c r="D473" s="821" t="s">
        <v>880</v>
      </c>
      <c r="E473" s="821" t="s">
        <v>880</v>
      </c>
      <c r="F473" s="821" t="s">
        <v>881</v>
      </c>
      <c r="G473" s="821" t="s">
        <v>882</v>
      </c>
      <c r="H473" s="821" t="s">
        <v>883</v>
      </c>
      <c r="I473" s="821" t="s">
        <v>984</v>
      </c>
      <c r="J473" s="821" t="s">
        <v>885</v>
      </c>
      <c r="K473" s="821" t="s">
        <v>886</v>
      </c>
      <c r="L473" s="821" t="s">
        <v>984</v>
      </c>
      <c r="M473" s="821" t="s">
        <v>1105</v>
      </c>
      <c r="N473" s="821" t="s">
        <v>888</v>
      </c>
      <c r="O473" s="821" t="s">
        <v>886</v>
      </c>
      <c r="P473" s="533">
        <v>100966292</v>
      </c>
      <c r="Q473" s="794">
        <v>-1009662.92</v>
      </c>
      <c r="R473" t="str">
        <f t="shared" si="10"/>
        <v>201706</v>
      </c>
      <c r="S473" s="405">
        <f>-Q473</f>
        <v>1009662.92</v>
      </c>
    </row>
    <row r="474" spans="1:19">
      <c r="A474" s="821" t="s">
        <v>877</v>
      </c>
      <c r="B474" s="821" t="s">
        <v>878</v>
      </c>
      <c r="C474" s="821" t="s">
        <v>879</v>
      </c>
      <c r="D474" s="821" t="s">
        <v>880</v>
      </c>
      <c r="E474" s="821" t="s">
        <v>880</v>
      </c>
      <c r="F474" s="821" t="s">
        <v>881</v>
      </c>
      <c r="G474" s="821" t="s">
        <v>882</v>
      </c>
      <c r="H474" s="821" t="s">
        <v>883</v>
      </c>
      <c r="I474" s="821" t="s">
        <v>985</v>
      </c>
      <c r="J474" s="821" t="s">
        <v>885</v>
      </c>
      <c r="K474" s="821" t="s">
        <v>886</v>
      </c>
      <c r="L474" s="821" t="s">
        <v>985</v>
      </c>
      <c r="M474" s="821" t="s">
        <v>1105</v>
      </c>
      <c r="N474" s="821" t="s">
        <v>886</v>
      </c>
      <c r="O474" s="821" t="s">
        <v>886</v>
      </c>
      <c r="P474" s="533">
        <v>163793</v>
      </c>
      <c r="Q474" s="820">
        <v>1637.93</v>
      </c>
      <c r="R474" t="str">
        <f t="shared" si="10"/>
        <v>201706</v>
      </c>
      <c r="S474" s="405">
        <f>Q474</f>
        <v>1637.93</v>
      </c>
    </row>
    <row r="475" spans="1:19">
      <c r="A475" s="821" t="s">
        <v>877</v>
      </c>
      <c r="B475" s="821" t="s">
        <v>878</v>
      </c>
      <c r="C475" s="821" t="s">
        <v>879</v>
      </c>
      <c r="D475" s="821" t="s">
        <v>880</v>
      </c>
      <c r="E475" s="821" t="s">
        <v>880</v>
      </c>
      <c r="F475" s="821" t="s">
        <v>881</v>
      </c>
      <c r="G475" s="821" t="s">
        <v>882</v>
      </c>
      <c r="H475" s="821" t="s">
        <v>883</v>
      </c>
      <c r="I475" s="821" t="s">
        <v>986</v>
      </c>
      <c r="J475" s="821" t="s">
        <v>885</v>
      </c>
      <c r="K475" s="821" t="s">
        <v>886</v>
      </c>
      <c r="L475" s="821" t="s">
        <v>986</v>
      </c>
      <c r="M475" s="821" t="s">
        <v>1105</v>
      </c>
      <c r="N475" s="821" t="s">
        <v>886</v>
      </c>
      <c r="O475" s="821" t="s">
        <v>886</v>
      </c>
      <c r="P475" s="533">
        <v>371588</v>
      </c>
      <c r="Q475" s="820">
        <v>3715.88</v>
      </c>
      <c r="R475" t="str">
        <f t="shared" si="10"/>
        <v>201706</v>
      </c>
      <c r="S475" s="405">
        <f>Q475</f>
        <v>3715.88</v>
      </c>
    </row>
    <row r="476" spans="1:19">
      <c r="A476" s="821" t="s">
        <v>877</v>
      </c>
      <c r="B476" s="821" t="s">
        <v>878</v>
      </c>
      <c r="C476" s="821" t="s">
        <v>879</v>
      </c>
      <c r="D476" s="821" t="s">
        <v>880</v>
      </c>
      <c r="E476" s="821" t="s">
        <v>880</v>
      </c>
      <c r="F476" s="821" t="s">
        <v>881</v>
      </c>
      <c r="G476" s="821" t="s">
        <v>882</v>
      </c>
      <c r="H476" s="821" t="s">
        <v>883</v>
      </c>
      <c r="I476" s="821" t="s">
        <v>987</v>
      </c>
      <c r="J476" s="821" t="s">
        <v>885</v>
      </c>
      <c r="K476" s="821" t="s">
        <v>886</v>
      </c>
      <c r="L476" s="821" t="s">
        <v>987</v>
      </c>
      <c r="M476" s="821" t="s">
        <v>1105</v>
      </c>
      <c r="N476" s="821" t="s">
        <v>886</v>
      </c>
      <c r="O476" s="821" t="s">
        <v>886</v>
      </c>
      <c r="P476" s="533">
        <v>39684</v>
      </c>
      <c r="Q476" s="820">
        <v>396.84</v>
      </c>
      <c r="R476" t="str">
        <f t="shared" si="10"/>
        <v>201706</v>
      </c>
      <c r="S476" s="405">
        <f>Q476</f>
        <v>396.84</v>
      </c>
    </row>
    <row r="477" spans="1:19">
      <c r="A477" s="821" t="s">
        <v>877</v>
      </c>
      <c r="B477" s="821" t="s">
        <v>878</v>
      </c>
      <c r="C477" s="821" t="s">
        <v>879</v>
      </c>
      <c r="D477" s="821" t="s">
        <v>880</v>
      </c>
      <c r="E477" s="821" t="s">
        <v>880</v>
      </c>
      <c r="F477" s="821" t="s">
        <v>881</v>
      </c>
      <c r="G477" s="821" t="s">
        <v>882</v>
      </c>
      <c r="H477" s="821" t="s">
        <v>883</v>
      </c>
      <c r="I477" s="821" t="s">
        <v>988</v>
      </c>
      <c r="J477" s="821" t="s">
        <v>885</v>
      </c>
      <c r="K477" s="821" t="s">
        <v>886</v>
      </c>
      <c r="L477" s="821" t="s">
        <v>988</v>
      </c>
      <c r="M477" s="821" t="s">
        <v>1105</v>
      </c>
      <c r="N477" s="821" t="s">
        <v>886</v>
      </c>
      <c r="O477" s="821" t="s">
        <v>886</v>
      </c>
      <c r="P477" s="533">
        <v>68629</v>
      </c>
      <c r="Q477" s="820">
        <v>686.29</v>
      </c>
      <c r="R477" t="str">
        <f t="shared" si="10"/>
        <v>201706</v>
      </c>
      <c r="S477" s="405">
        <f>Q477</f>
        <v>686.29</v>
      </c>
    </row>
    <row r="478" spans="1:19">
      <c r="A478" s="821" t="s">
        <v>877</v>
      </c>
      <c r="B478" s="821" t="s">
        <v>878</v>
      </c>
      <c r="C478" s="821" t="s">
        <v>879</v>
      </c>
      <c r="D478" s="821" t="s">
        <v>880</v>
      </c>
      <c r="E478" s="821" t="s">
        <v>880</v>
      </c>
      <c r="F478" s="821" t="s">
        <v>881</v>
      </c>
      <c r="G478" s="821" t="s">
        <v>882</v>
      </c>
      <c r="H478" s="821" t="s">
        <v>883</v>
      </c>
      <c r="I478" s="821" t="s">
        <v>989</v>
      </c>
      <c r="J478" s="821" t="s">
        <v>885</v>
      </c>
      <c r="K478" s="821" t="s">
        <v>886</v>
      </c>
      <c r="L478" s="821" t="s">
        <v>989</v>
      </c>
      <c r="M478" s="821" t="s">
        <v>1105</v>
      </c>
      <c r="N478" s="821" t="s">
        <v>886</v>
      </c>
      <c r="O478" s="821" t="s">
        <v>886</v>
      </c>
      <c r="P478" s="533">
        <v>1136178</v>
      </c>
      <c r="Q478" s="820">
        <v>11361.78</v>
      </c>
      <c r="R478" t="str">
        <f t="shared" si="10"/>
        <v>201706</v>
      </c>
      <c r="S478" s="405">
        <f>Q478</f>
        <v>11361.78</v>
      </c>
    </row>
    <row r="479" spans="1:19">
      <c r="A479" s="821" t="s">
        <v>877</v>
      </c>
      <c r="B479" s="821" t="s">
        <v>878</v>
      </c>
      <c r="C479" s="821" t="s">
        <v>879</v>
      </c>
      <c r="D479" s="821" t="s">
        <v>880</v>
      </c>
      <c r="E479" s="821" t="s">
        <v>880</v>
      </c>
      <c r="F479" s="821" t="s">
        <v>881</v>
      </c>
      <c r="G479" s="821" t="s">
        <v>882</v>
      </c>
      <c r="H479" s="821" t="s">
        <v>883</v>
      </c>
      <c r="I479" s="821" t="s">
        <v>989</v>
      </c>
      <c r="J479" s="821" t="s">
        <v>885</v>
      </c>
      <c r="K479" s="821" t="s">
        <v>886</v>
      </c>
      <c r="L479" s="821" t="s">
        <v>989</v>
      </c>
      <c r="M479" s="821" t="s">
        <v>1105</v>
      </c>
      <c r="N479" s="821" t="s">
        <v>888</v>
      </c>
      <c r="O479" s="821" t="s">
        <v>886</v>
      </c>
      <c r="P479" s="533">
        <v>1107407</v>
      </c>
      <c r="Q479" s="820">
        <v>-11074.07</v>
      </c>
      <c r="R479" t="str">
        <f t="shared" si="10"/>
        <v>201706</v>
      </c>
      <c r="S479" s="405">
        <f>-Q479</f>
        <v>11074.07</v>
      </c>
    </row>
    <row r="480" spans="1:19">
      <c r="A480" s="821" t="s">
        <v>877</v>
      </c>
      <c r="B480" s="821" t="s">
        <v>878</v>
      </c>
      <c r="C480" s="821" t="s">
        <v>879</v>
      </c>
      <c r="D480" s="821" t="s">
        <v>880</v>
      </c>
      <c r="E480" s="821" t="s">
        <v>880</v>
      </c>
      <c r="F480" s="821" t="s">
        <v>881</v>
      </c>
      <c r="G480" s="821" t="s">
        <v>882</v>
      </c>
      <c r="H480" s="821" t="s">
        <v>883</v>
      </c>
      <c r="I480" s="821" t="s">
        <v>989</v>
      </c>
      <c r="J480" s="821" t="s">
        <v>885</v>
      </c>
      <c r="K480" s="821" t="s">
        <v>886</v>
      </c>
      <c r="L480" s="821" t="s">
        <v>989</v>
      </c>
      <c r="M480" s="821" t="s">
        <v>1105</v>
      </c>
      <c r="N480" s="821" t="s">
        <v>888</v>
      </c>
      <c r="O480" s="821" t="s">
        <v>886</v>
      </c>
      <c r="P480" s="533">
        <v>40496832</v>
      </c>
      <c r="Q480" s="794">
        <v>-404968.32</v>
      </c>
      <c r="R480" t="str">
        <f t="shared" si="10"/>
        <v>201706</v>
      </c>
      <c r="S480" s="405">
        <f>-Q480</f>
        <v>404968.32</v>
      </c>
    </row>
    <row r="481" spans="1:19">
      <c r="A481" s="821" t="s">
        <v>877</v>
      </c>
      <c r="B481" s="821" t="s">
        <v>878</v>
      </c>
      <c r="C481" s="821" t="s">
        <v>879</v>
      </c>
      <c r="D481" s="821" t="s">
        <v>880</v>
      </c>
      <c r="E481" s="821" t="s">
        <v>880</v>
      </c>
      <c r="F481" s="821" t="s">
        <v>881</v>
      </c>
      <c r="G481" s="821" t="s">
        <v>882</v>
      </c>
      <c r="H481" s="821" t="s">
        <v>883</v>
      </c>
      <c r="I481" s="821" t="s">
        <v>990</v>
      </c>
      <c r="J481" s="821" t="s">
        <v>885</v>
      </c>
      <c r="K481" s="821" t="s">
        <v>886</v>
      </c>
      <c r="L481" s="821" t="s">
        <v>990</v>
      </c>
      <c r="M481" s="821" t="s">
        <v>1105</v>
      </c>
      <c r="N481" s="821" t="s">
        <v>886</v>
      </c>
      <c r="O481" s="821" t="s">
        <v>886</v>
      </c>
      <c r="P481" s="533">
        <v>585121</v>
      </c>
      <c r="Q481" s="820">
        <v>5851.21</v>
      </c>
      <c r="R481" t="str">
        <f t="shared" si="10"/>
        <v>201706</v>
      </c>
      <c r="S481" s="405">
        <f>Q481</f>
        <v>5851.21</v>
      </c>
    </row>
    <row r="482" spans="1:19">
      <c r="A482" s="821" t="s">
        <v>877</v>
      </c>
      <c r="B482" s="821" t="s">
        <v>878</v>
      </c>
      <c r="C482" s="821" t="s">
        <v>879</v>
      </c>
      <c r="D482" s="821" t="s">
        <v>880</v>
      </c>
      <c r="E482" s="821" t="s">
        <v>880</v>
      </c>
      <c r="F482" s="821" t="s">
        <v>881</v>
      </c>
      <c r="G482" s="821" t="s">
        <v>882</v>
      </c>
      <c r="H482" s="821" t="s">
        <v>883</v>
      </c>
      <c r="I482" s="821" t="s">
        <v>990</v>
      </c>
      <c r="J482" s="821" t="s">
        <v>885</v>
      </c>
      <c r="K482" s="821" t="s">
        <v>886</v>
      </c>
      <c r="L482" s="821" t="s">
        <v>990</v>
      </c>
      <c r="M482" s="821" t="s">
        <v>1105</v>
      </c>
      <c r="N482" s="821" t="s">
        <v>888</v>
      </c>
      <c r="O482" s="821" t="s">
        <v>886</v>
      </c>
      <c r="P482" s="533">
        <v>488738</v>
      </c>
      <c r="Q482" s="820">
        <v>-4887.38</v>
      </c>
      <c r="R482" t="str">
        <f t="shared" si="10"/>
        <v>201706</v>
      </c>
      <c r="S482" s="405">
        <f>-Q482</f>
        <v>4887.38</v>
      </c>
    </row>
    <row r="483" spans="1:19">
      <c r="A483" s="821" t="s">
        <v>877</v>
      </c>
      <c r="B483" s="821" t="s">
        <v>878</v>
      </c>
      <c r="C483" s="821" t="s">
        <v>879</v>
      </c>
      <c r="D483" s="821" t="s">
        <v>880</v>
      </c>
      <c r="E483" s="821" t="s">
        <v>880</v>
      </c>
      <c r="F483" s="821" t="s">
        <v>881</v>
      </c>
      <c r="G483" s="821" t="s">
        <v>882</v>
      </c>
      <c r="H483" s="821" t="s">
        <v>883</v>
      </c>
      <c r="I483" s="821" t="s">
        <v>990</v>
      </c>
      <c r="J483" s="821" t="s">
        <v>885</v>
      </c>
      <c r="K483" s="821" t="s">
        <v>886</v>
      </c>
      <c r="L483" s="821" t="s">
        <v>990</v>
      </c>
      <c r="M483" s="821" t="s">
        <v>1105</v>
      </c>
      <c r="N483" s="821" t="s">
        <v>888</v>
      </c>
      <c r="O483" s="821" t="s">
        <v>886</v>
      </c>
      <c r="P483" s="533">
        <v>30250370</v>
      </c>
      <c r="Q483" s="794">
        <v>-302503.7</v>
      </c>
      <c r="R483" t="str">
        <f t="shared" si="10"/>
        <v>201706</v>
      </c>
      <c r="S483" s="405">
        <f>-Q483</f>
        <v>302503.7</v>
      </c>
    </row>
    <row r="484" spans="1:19">
      <c r="A484" s="821" t="s">
        <v>877</v>
      </c>
      <c r="B484" s="821" t="s">
        <v>878</v>
      </c>
      <c r="C484" s="821" t="s">
        <v>879</v>
      </c>
      <c r="D484" s="821" t="s">
        <v>880</v>
      </c>
      <c r="E484" s="821" t="s">
        <v>880</v>
      </c>
      <c r="F484" s="821" t="s">
        <v>881</v>
      </c>
      <c r="G484" s="821" t="s">
        <v>882</v>
      </c>
      <c r="H484" s="821" t="s">
        <v>883</v>
      </c>
      <c r="I484" s="821" t="s">
        <v>991</v>
      </c>
      <c r="J484" s="821" t="s">
        <v>885</v>
      </c>
      <c r="K484" s="821" t="s">
        <v>886</v>
      </c>
      <c r="L484" s="821" t="s">
        <v>991</v>
      </c>
      <c r="M484" s="821" t="s">
        <v>1105</v>
      </c>
      <c r="N484" s="821" t="s">
        <v>886</v>
      </c>
      <c r="O484" s="821" t="s">
        <v>886</v>
      </c>
      <c r="P484" s="533">
        <v>426163</v>
      </c>
      <c r="Q484" s="820">
        <v>4261.63</v>
      </c>
      <c r="R484" t="str">
        <f t="shared" si="10"/>
        <v>201706</v>
      </c>
      <c r="S484" s="405">
        <f>Q484</f>
        <v>4261.63</v>
      </c>
    </row>
    <row r="485" spans="1:19">
      <c r="A485" s="821" t="s">
        <v>877</v>
      </c>
      <c r="B485" s="821" t="s">
        <v>878</v>
      </c>
      <c r="C485" s="821" t="s">
        <v>879</v>
      </c>
      <c r="D485" s="821" t="s">
        <v>880</v>
      </c>
      <c r="E485" s="821" t="s">
        <v>880</v>
      </c>
      <c r="F485" s="821" t="s">
        <v>881</v>
      </c>
      <c r="G485" s="821" t="s">
        <v>882</v>
      </c>
      <c r="H485" s="821" t="s">
        <v>883</v>
      </c>
      <c r="I485" s="821" t="s">
        <v>992</v>
      </c>
      <c r="J485" s="821" t="s">
        <v>885</v>
      </c>
      <c r="K485" s="821" t="s">
        <v>886</v>
      </c>
      <c r="L485" s="821" t="s">
        <v>992</v>
      </c>
      <c r="M485" s="821" t="s">
        <v>1105</v>
      </c>
      <c r="N485" s="821" t="s">
        <v>886</v>
      </c>
      <c r="O485" s="821" t="s">
        <v>886</v>
      </c>
      <c r="P485" s="533">
        <v>501395</v>
      </c>
      <c r="Q485" s="820">
        <v>5013.95</v>
      </c>
      <c r="R485" t="str">
        <f t="shared" si="10"/>
        <v>201706</v>
      </c>
      <c r="S485" s="405">
        <f>Q485</f>
        <v>5013.95</v>
      </c>
    </row>
    <row r="486" spans="1:19">
      <c r="A486" s="821" t="s">
        <v>877</v>
      </c>
      <c r="B486" s="821" t="s">
        <v>878</v>
      </c>
      <c r="C486" s="821" t="s">
        <v>879</v>
      </c>
      <c r="D486" s="821" t="s">
        <v>880</v>
      </c>
      <c r="E486" s="821" t="s">
        <v>880</v>
      </c>
      <c r="F486" s="821" t="s">
        <v>881</v>
      </c>
      <c r="G486" s="821" t="s">
        <v>882</v>
      </c>
      <c r="H486" s="821" t="s">
        <v>883</v>
      </c>
      <c r="I486" s="821" t="s">
        <v>992</v>
      </c>
      <c r="J486" s="821" t="s">
        <v>885</v>
      </c>
      <c r="K486" s="821" t="s">
        <v>886</v>
      </c>
      <c r="L486" s="821" t="s">
        <v>992</v>
      </c>
      <c r="M486" s="821" t="s">
        <v>1105</v>
      </c>
      <c r="N486" s="821" t="s">
        <v>886</v>
      </c>
      <c r="O486" s="821" t="s">
        <v>886</v>
      </c>
      <c r="P486" s="533">
        <v>21800000</v>
      </c>
      <c r="Q486" s="794">
        <v>218000</v>
      </c>
      <c r="R486" t="str">
        <f t="shared" si="10"/>
        <v>201706</v>
      </c>
      <c r="S486" s="405">
        <f>Q486</f>
        <v>218000</v>
      </c>
    </row>
    <row r="487" spans="1:19">
      <c r="A487" s="821" t="s">
        <v>877</v>
      </c>
      <c r="B487" s="821" t="s">
        <v>878</v>
      </c>
      <c r="C487" s="821" t="s">
        <v>879</v>
      </c>
      <c r="D487" s="821" t="s">
        <v>880</v>
      </c>
      <c r="E487" s="821" t="s">
        <v>880</v>
      </c>
      <c r="F487" s="821" t="s">
        <v>881</v>
      </c>
      <c r="G487" s="821" t="s">
        <v>882</v>
      </c>
      <c r="H487" s="821" t="s">
        <v>883</v>
      </c>
      <c r="I487" s="821" t="s">
        <v>992</v>
      </c>
      <c r="J487" s="821" t="s">
        <v>885</v>
      </c>
      <c r="K487" s="821" t="s">
        <v>886</v>
      </c>
      <c r="L487" s="821" t="s">
        <v>992</v>
      </c>
      <c r="M487" s="821" t="s">
        <v>1105</v>
      </c>
      <c r="N487" s="821" t="s">
        <v>888</v>
      </c>
      <c r="O487" s="821" t="s">
        <v>886</v>
      </c>
      <c r="P487" s="533">
        <v>461430</v>
      </c>
      <c r="Q487" s="820">
        <v>-4614.3</v>
      </c>
      <c r="R487" t="str">
        <f t="shared" si="10"/>
        <v>201706</v>
      </c>
      <c r="S487" s="405">
        <f>-Q487</f>
        <v>4614.3</v>
      </c>
    </row>
    <row r="488" spans="1:19">
      <c r="A488" s="821" t="s">
        <v>877</v>
      </c>
      <c r="B488" s="821" t="s">
        <v>878</v>
      </c>
      <c r="C488" s="821" t="s">
        <v>879</v>
      </c>
      <c r="D488" s="821" t="s">
        <v>880</v>
      </c>
      <c r="E488" s="821" t="s">
        <v>880</v>
      </c>
      <c r="F488" s="821" t="s">
        <v>881</v>
      </c>
      <c r="G488" s="821" t="s">
        <v>882</v>
      </c>
      <c r="H488" s="821" t="s">
        <v>883</v>
      </c>
      <c r="I488" s="821" t="s">
        <v>992</v>
      </c>
      <c r="J488" s="821" t="s">
        <v>885</v>
      </c>
      <c r="K488" s="821" t="s">
        <v>886</v>
      </c>
      <c r="L488" s="821" t="s">
        <v>992</v>
      </c>
      <c r="M488" s="821" t="s">
        <v>1105</v>
      </c>
      <c r="N488" s="821" t="s">
        <v>888</v>
      </c>
      <c r="O488" s="821" t="s">
        <v>886</v>
      </c>
      <c r="P488" s="533">
        <v>15289322</v>
      </c>
      <c r="Q488" s="794">
        <v>-152893.22</v>
      </c>
      <c r="R488" t="str">
        <f t="shared" si="10"/>
        <v>201706</v>
      </c>
      <c r="S488" s="405">
        <f>-Q488</f>
        <v>152893.22</v>
      </c>
    </row>
    <row r="489" spans="1:19">
      <c r="A489" s="821" t="s">
        <v>877</v>
      </c>
      <c r="B489" s="821" t="s">
        <v>878</v>
      </c>
      <c r="C489" s="821" t="s">
        <v>879</v>
      </c>
      <c r="D489" s="821" t="s">
        <v>880</v>
      </c>
      <c r="E489" s="821" t="s">
        <v>880</v>
      </c>
      <c r="F489" s="821" t="s">
        <v>881</v>
      </c>
      <c r="G489" s="821" t="s">
        <v>882</v>
      </c>
      <c r="H489" s="821" t="s">
        <v>883</v>
      </c>
      <c r="I489" s="821" t="s">
        <v>993</v>
      </c>
      <c r="J489" s="821" t="s">
        <v>885</v>
      </c>
      <c r="K489" s="821" t="s">
        <v>886</v>
      </c>
      <c r="L489" s="821" t="s">
        <v>993</v>
      </c>
      <c r="M489" s="821" t="s">
        <v>1105</v>
      </c>
      <c r="N489" s="821" t="s">
        <v>886</v>
      </c>
      <c r="O489" s="821" t="s">
        <v>886</v>
      </c>
      <c r="P489" s="533">
        <v>558712</v>
      </c>
      <c r="Q489" s="820">
        <v>5587.12</v>
      </c>
      <c r="R489" t="str">
        <f t="shared" si="10"/>
        <v>201706</v>
      </c>
      <c r="S489" s="405">
        <f>Q489</f>
        <v>5587.12</v>
      </c>
    </row>
    <row r="490" spans="1:19">
      <c r="A490" s="821" t="s">
        <v>877</v>
      </c>
      <c r="B490" s="821" t="s">
        <v>878</v>
      </c>
      <c r="C490" s="821" t="s">
        <v>879</v>
      </c>
      <c r="D490" s="821" t="s">
        <v>880</v>
      </c>
      <c r="E490" s="821" t="s">
        <v>880</v>
      </c>
      <c r="F490" s="821" t="s">
        <v>881</v>
      </c>
      <c r="G490" s="821" t="s">
        <v>882</v>
      </c>
      <c r="H490" s="821" t="s">
        <v>883</v>
      </c>
      <c r="I490" s="821" t="s">
        <v>994</v>
      </c>
      <c r="J490" s="821" t="s">
        <v>885</v>
      </c>
      <c r="K490" s="821" t="s">
        <v>886</v>
      </c>
      <c r="L490" s="821" t="s">
        <v>994</v>
      </c>
      <c r="M490" s="821" t="s">
        <v>1105</v>
      </c>
      <c r="N490" s="821" t="s">
        <v>888</v>
      </c>
      <c r="O490" s="821" t="s">
        <v>886</v>
      </c>
      <c r="P490" s="533">
        <v>135684</v>
      </c>
      <c r="Q490" s="820">
        <v>-1356.84</v>
      </c>
      <c r="R490" t="str">
        <f t="shared" si="10"/>
        <v>201706</v>
      </c>
      <c r="S490" s="405">
        <f>-Q490</f>
        <v>1356.84</v>
      </c>
    </row>
    <row r="491" spans="1:19">
      <c r="A491" s="821" t="s">
        <v>877</v>
      </c>
      <c r="B491" s="821" t="s">
        <v>878</v>
      </c>
      <c r="C491" s="821" t="s">
        <v>879</v>
      </c>
      <c r="D491" s="821" t="s">
        <v>880</v>
      </c>
      <c r="E491" s="821" t="s">
        <v>880</v>
      </c>
      <c r="F491" s="821" t="s">
        <v>881</v>
      </c>
      <c r="G491" s="821" t="s">
        <v>882</v>
      </c>
      <c r="H491" s="821" t="s">
        <v>883</v>
      </c>
      <c r="I491" s="821" t="s">
        <v>994</v>
      </c>
      <c r="J491" s="821" t="s">
        <v>885</v>
      </c>
      <c r="K491" s="821" t="s">
        <v>886</v>
      </c>
      <c r="L491" s="821" t="s">
        <v>994</v>
      </c>
      <c r="M491" s="821" t="s">
        <v>1105</v>
      </c>
      <c r="N491" s="821" t="s">
        <v>888</v>
      </c>
      <c r="O491" s="821" t="s">
        <v>886</v>
      </c>
      <c r="P491" s="533">
        <v>398245</v>
      </c>
      <c r="Q491" s="820">
        <v>-3982.45</v>
      </c>
      <c r="R491" t="str">
        <f t="shared" si="10"/>
        <v>201706</v>
      </c>
      <c r="S491" s="405">
        <f>-Q491</f>
        <v>3982.45</v>
      </c>
    </row>
    <row r="492" spans="1:19">
      <c r="A492" s="821" t="s">
        <v>877</v>
      </c>
      <c r="B492" s="821" t="s">
        <v>878</v>
      </c>
      <c r="C492" s="821" t="s">
        <v>879</v>
      </c>
      <c r="D492" s="821" t="s">
        <v>880</v>
      </c>
      <c r="E492" s="821" t="s">
        <v>880</v>
      </c>
      <c r="F492" s="821" t="s">
        <v>881</v>
      </c>
      <c r="G492" s="821" t="s">
        <v>882</v>
      </c>
      <c r="H492" s="821" t="s">
        <v>883</v>
      </c>
      <c r="I492" s="821" t="s">
        <v>995</v>
      </c>
      <c r="J492" s="821" t="s">
        <v>885</v>
      </c>
      <c r="K492" s="821" t="s">
        <v>886</v>
      </c>
      <c r="L492" s="821" t="s">
        <v>995</v>
      </c>
      <c r="M492" s="821" t="s">
        <v>1105</v>
      </c>
      <c r="N492" s="821" t="s">
        <v>888</v>
      </c>
      <c r="O492" s="821" t="s">
        <v>886</v>
      </c>
      <c r="P492" s="533">
        <v>618469</v>
      </c>
      <c r="Q492" s="820">
        <v>-6184.69</v>
      </c>
      <c r="R492" t="str">
        <f t="shared" si="10"/>
        <v>201707</v>
      </c>
      <c r="S492" s="405">
        <f>-Q492</f>
        <v>6184.69</v>
      </c>
    </row>
    <row r="493" spans="1:19">
      <c r="A493" s="821" t="s">
        <v>877</v>
      </c>
      <c r="B493" s="821" t="s">
        <v>878</v>
      </c>
      <c r="C493" s="821" t="s">
        <v>879</v>
      </c>
      <c r="D493" s="821" t="s">
        <v>880</v>
      </c>
      <c r="E493" s="821" t="s">
        <v>880</v>
      </c>
      <c r="F493" s="821" t="s">
        <v>881</v>
      </c>
      <c r="G493" s="821" t="s">
        <v>882</v>
      </c>
      <c r="H493" s="821" t="s">
        <v>883</v>
      </c>
      <c r="I493" s="821" t="s">
        <v>996</v>
      </c>
      <c r="J493" s="821" t="s">
        <v>885</v>
      </c>
      <c r="K493" s="821" t="s">
        <v>886</v>
      </c>
      <c r="L493" s="821" t="s">
        <v>996</v>
      </c>
      <c r="M493" s="821" t="s">
        <v>1105</v>
      </c>
      <c r="N493" s="821" t="s">
        <v>888</v>
      </c>
      <c r="O493" s="821" t="s">
        <v>886</v>
      </c>
      <c r="P493" s="533">
        <v>134369</v>
      </c>
      <c r="Q493" s="820">
        <v>-1343.69</v>
      </c>
      <c r="R493" t="str">
        <f t="shared" si="10"/>
        <v>201707</v>
      </c>
      <c r="S493" s="405">
        <f>-Q493</f>
        <v>1343.69</v>
      </c>
    </row>
    <row r="494" spans="1:19">
      <c r="A494" s="821" t="s">
        <v>877</v>
      </c>
      <c r="B494" s="821" t="s">
        <v>878</v>
      </c>
      <c r="C494" s="821" t="s">
        <v>879</v>
      </c>
      <c r="D494" s="821" t="s">
        <v>880</v>
      </c>
      <c r="E494" s="821" t="s">
        <v>880</v>
      </c>
      <c r="F494" s="821" t="s">
        <v>881</v>
      </c>
      <c r="G494" s="821" t="s">
        <v>882</v>
      </c>
      <c r="H494" s="821" t="s">
        <v>883</v>
      </c>
      <c r="I494" s="821" t="s">
        <v>997</v>
      </c>
      <c r="J494" s="821" t="s">
        <v>885</v>
      </c>
      <c r="K494" s="821" t="s">
        <v>886</v>
      </c>
      <c r="L494" s="821" t="s">
        <v>997</v>
      </c>
      <c r="M494" s="821" t="s">
        <v>1105</v>
      </c>
      <c r="N494" s="821" t="s">
        <v>886</v>
      </c>
      <c r="O494" s="821" t="s">
        <v>886</v>
      </c>
      <c r="P494" s="533">
        <v>1589694</v>
      </c>
      <c r="Q494" s="820">
        <v>15896.94</v>
      </c>
      <c r="R494" t="str">
        <f t="shared" si="10"/>
        <v>201707</v>
      </c>
      <c r="S494" s="405">
        <f>Q494</f>
        <v>15896.94</v>
      </c>
    </row>
    <row r="495" spans="1:19">
      <c r="A495" s="821" t="s">
        <v>877</v>
      </c>
      <c r="B495" s="821" t="s">
        <v>878</v>
      </c>
      <c r="C495" s="821" t="s">
        <v>879</v>
      </c>
      <c r="D495" s="821" t="s">
        <v>880</v>
      </c>
      <c r="E495" s="821" t="s">
        <v>880</v>
      </c>
      <c r="F495" s="821" t="s">
        <v>881</v>
      </c>
      <c r="G495" s="821" t="s">
        <v>882</v>
      </c>
      <c r="H495" s="821" t="s">
        <v>883</v>
      </c>
      <c r="I495" s="821" t="s">
        <v>997</v>
      </c>
      <c r="J495" s="821" t="s">
        <v>885</v>
      </c>
      <c r="K495" s="821" t="s">
        <v>886</v>
      </c>
      <c r="L495" s="821" t="s">
        <v>997</v>
      </c>
      <c r="M495" s="821" t="s">
        <v>1105</v>
      </c>
      <c r="N495" s="821" t="s">
        <v>888</v>
      </c>
      <c r="O495" s="821" t="s">
        <v>886</v>
      </c>
      <c r="P495" s="533">
        <v>884444</v>
      </c>
      <c r="Q495" s="820">
        <v>-8844.44</v>
      </c>
      <c r="R495" t="str">
        <f t="shared" si="10"/>
        <v>201707</v>
      </c>
      <c r="S495" s="405">
        <f>-Q495</f>
        <v>8844.44</v>
      </c>
    </row>
    <row r="496" spans="1:19">
      <c r="A496" s="821" t="s">
        <v>877</v>
      </c>
      <c r="B496" s="821" t="s">
        <v>878</v>
      </c>
      <c r="C496" s="821" t="s">
        <v>879</v>
      </c>
      <c r="D496" s="821" t="s">
        <v>880</v>
      </c>
      <c r="E496" s="821" t="s">
        <v>880</v>
      </c>
      <c r="F496" s="821" t="s">
        <v>881</v>
      </c>
      <c r="G496" s="821" t="s">
        <v>882</v>
      </c>
      <c r="H496" s="821" t="s">
        <v>883</v>
      </c>
      <c r="I496" s="821" t="s">
        <v>998</v>
      </c>
      <c r="J496" s="821" t="s">
        <v>885</v>
      </c>
      <c r="K496" s="821" t="s">
        <v>886</v>
      </c>
      <c r="L496" s="821" t="s">
        <v>998</v>
      </c>
      <c r="M496" s="821" t="s">
        <v>1105</v>
      </c>
      <c r="N496" s="821" t="s">
        <v>888</v>
      </c>
      <c r="O496" s="821" t="s">
        <v>886</v>
      </c>
      <c r="P496" s="533">
        <v>368529</v>
      </c>
      <c r="Q496" s="820">
        <v>-3685.29</v>
      </c>
      <c r="R496" t="str">
        <f t="shared" si="10"/>
        <v>201707</v>
      </c>
      <c r="S496" s="405">
        <f>-Q496</f>
        <v>3685.29</v>
      </c>
    </row>
    <row r="497" spans="1:19">
      <c r="A497" s="821" t="s">
        <v>877</v>
      </c>
      <c r="B497" s="821" t="s">
        <v>878</v>
      </c>
      <c r="C497" s="821" t="s">
        <v>879</v>
      </c>
      <c r="D497" s="821" t="s">
        <v>880</v>
      </c>
      <c r="E497" s="821" t="s">
        <v>880</v>
      </c>
      <c r="F497" s="821" t="s">
        <v>881</v>
      </c>
      <c r="G497" s="821" t="s">
        <v>882</v>
      </c>
      <c r="H497" s="821" t="s">
        <v>883</v>
      </c>
      <c r="I497" s="821" t="s">
        <v>999</v>
      </c>
      <c r="J497" s="821" t="s">
        <v>885</v>
      </c>
      <c r="K497" s="821" t="s">
        <v>886</v>
      </c>
      <c r="L497" s="821" t="s">
        <v>999</v>
      </c>
      <c r="M497" s="821" t="s">
        <v>1105</v>
      </c>
      <c r="N497" s="821" t="s">
        <v>886</v>
      </c>
      <c r="O497" s="821" t="s">
        <v>886</v>
      </c>
      <c r="P497" s="533">
        <v>46289</v>
      </c>
      <c r="Q497" s="820">
        <v>462.89</v>
      </c>
      <c r="R497" t="str">
        <f t="shared" si="10"/>
        <v>201707</v>
      </c>
      <c r="S497" s="405">
        <f>Q497</f>
        <v>462.89</v>
      </c>
    </row>
    <row r="498" spans="1:19">
      <c r="A498" s="821" t="s">
        <v>877</v>
      </c>
      <c r="B498" s="821" t="s">
        <v>878</v>
      </c>
      <c r="C498" s="821" t="s">
        <v>879</v>
      </c>
      <c r="D498" s="821" t="s">
        <v>880</v>
      </c>
      <c r="E498" s="821" t="s">
        <v>880</v>
      </c>
      <c r="F498" s="821" t="s">
        <v>881</v>
      </c>
      <c r="G498" s="821" t="s">
        <v>882</v>
      </c>
      <c r="H498" s="821" t="s">
        <v>883</v>
      </c>
      <c r="I498" s="821" t="s">
        <v>999</v>
      </c>
      <c r="J498" s="821" t="s">
        <v>885</v>
      </c>
      <c r="K498" s="821" t="s">
        <v>886</v>
      </c>
      <c r="L498" s="821" t="s">
        <v>999</v>
      </c>
      <c r="M498" s="821" t="s">
        <v>1105</v>
      </c>
      <c r="N498" s="821" t="s">
        <v>888</v>
      </c>
      <c r="O498" s="821" t="s">
        <v>886</v>
      </c>
      <c r="P498" s="533">
        <v>30584221</v>
      </c>
      <c r="Q498" s="794">
        <v>-305842.21000000002</v>
      </c>
      <c r="R498" t="str">
        <f t="shared" si="10"/>
        <v>201707</v>
      </c>
      <c r="S498" s="405">
        <f>-Q498</f>
        <v>305842.21000000002</v>
      </c>
    </row>
    <row r="499" spans="1:19">
      <c r="A499" s="821" t="s">
        <v>877</v>
      </c>
      <c r="B499" s="821" t="s">
        <v>878</v>
      </c>
      <c r="C499" s="821" t="s">
        <v>879</v>
      </c>
      <c r="D499" s="821" t="s">
        <v>880</v>
      </c>
      <c r="E499" s="821" t="s">
        <v>880</v>
      </c>
      <c r="F499" s="821" t="s">
        <v>881</v>
      </c>
      <c r="G499" s="821" t="s">
        <v>882</v>
      </c>
      <c r="H499" s="821" t="s">
        <v>883</v>
      </c>
      <c r="I499" s="821" t="s">
        <v>1000</v>
      </c>
      <c r="J499" s="821" t="s">
        <v>885</v>
      </c>
      <c r="K499" s="821" t="s">
        <v>886</v>
      </c>
      <c r="L499" s="821" t="s">
        <v>1000</v>
      </c>
      <c r="M499" s="821" t="s">
        <v>1105</v>
      </c>
      <c r="N499" s="821" t="s">
        <v>888</v>
      </c>
      <c r="O499" s="821" t="s">
        <v>886</v>
      </c>
      <c r="P499" s="533">
        <v>217083</v>
      </c>
      <c r="Q499" s="820">
        <v>-2170.83</v>
      </c>
      <c r="R499" t="str">
        <f t="shared" si="10"/>
        <v>201707</v>
      </c>
      <c r="S499" s="405">
        <f>-Q499</f>
        <v>2170.83</v>
      </c>
    </row>
    <row r="500" spans="1:19">
      <c r="A500" s="821" t="s">
        <v>877</v>
      </c>
      <c r="B500" s="821" t="s">
        <v>878</v>
      </c>
      <c r="C500" s="821" t="s">
        <v>879</v>
      </c>
      <c r="D500" s="821" t="s">
        <v>880</v>
      </c>
      <c r="E500" s="821" t="s">
        <v>880</v>
      </c>
      <c r="F500" s="821" t="s">
        <v>881</v>
      </c>
      <c r="G500" s="821" t="s">
        <v>882</v>
      </c>
      <c r="H500" s="821" t="s">
        <v>883</v>
      </c>
      <c r="I500" s="821" t="s">
        <v>1000</v>
      </c>
      <c r="J500" s="821" t="s">
        <v>885</v>
      </c>
      <c r="K500" s="821" t="s">
        <v>886</v>
      </c>
      <c r="L500" s="821" t="s">
        <v>1000</v>
      </c>
      <c r="M500" s="821" t="s">
        <v>1105</v>
      </c>
      <c r="N500" s="821" t="s">
        <v>888</v>
      </c>
      <c r="O500" s="821" t="s">
        <v>886</v>
      </c>
      <c r="P500" s="533">
        <v>50946389</v>
      </c>
      <c r="Q500" s="794">
        <v>-509463.89</v>
      </c>
      <c r="R500" t="str">
        <f t="shared" si="10"/>
        <v>201707</v>
      </c>
      <c r="S500" s="405">
        <f>-Q500</f>
        <v>509463.89</v>
      </c>
    </row>
    <row r="501" spans="1:19">
      <c r="A501" s="821" t="s">
        <v>877</v>
      </c>
      <c r="B501" s="821" t="s">
        <v>878</v>
      </c>
      <c r="C501" s="821" t="s">
        <v>879</v>
      </c>
      <c r="D501" s="821" t="s">
        <v>880</v>
      </c>
      <c r="E501" s="821" t="s">
        <v>880</v>
      </c>
      <c r="F501" s="821" t="s">
        <v>881</v>
      </c>
      <c r="G501" s="821" t="s">
        <v>882</v>
      </c>
      <c r="H501" s="821" t="s">
        <v>883</v>
      </c>
      <c r="I501" s="821" t="s">
        <v>1001</v>
      </c>
      <c r="J501" s="821" t="s">
        <v>885</v>
      </c>
      <c r="K501" s="821" t="s">
        <v>886</v>
      </c>
      <c r="L501" s="821" t="s">
        <v>1001</v>
      </c>
      <c r="M501" s="821" t="s">
        <v>1105</v>
      </c>
      <c r="N501" s="821" t="s">
        <v>886</v>
      </c>
      <c r="O501" s="821" t="s">
        <v>886</v>
      </c>
      <c r="P501" s="533">
        <v>1173684</v>
      </c>
      <c r="Q501" s="820">
        <v>11736.84</v>
      </c>
      <c r="R501" t="str">
        <f t="shared" si="10"/>
        <v>201707</v>
      </c>
      <c r="S501" s="405">
        <f>Q501</f>
        <v>11736.84</v>
      </c>
    </row>
    <row r="502" spans="1:19">
      <c r="A502" s="821" t="s">
        <v>877</v>
      </c>
      <c r="B502" s="821" t="s">
        <v>878</v>
      </c>
      <c r="C502" s="821" t="s">
        <v>879</v>
      </c>
      <c r="D502" s="821" t="s">
        <v>880</v>
      </c>
      <c r="E502" s="821" t="s">
        <v>880</v>
      </c>
      <c r="F502" s="821" t="s">
        <v>881</v>
      </c>
      <c r="G502" s="821" t="s">
        <v>882</v>
      </c>
      <c r="H502" s="821" t="s">
        <v>883</v>
      </c>
      <c r="I502" s="821" t="s">
        <v>1002</v>
      </c>
      <c r="J502" s="821" t="s">
        <v>885</v>
      </c>
      <c r="K502" s="821" t="s">
        <v>886</v>
      </c>
      <c r="L502" s="821" t="s">
        <v>1002</v>
      </c>
      <c r="M502" s="821" t="s">
        <v>1105</v>
      </c>
      <c r="N502" s="821" t="s">
        <v>886</v>
      </c>
      <c r="O502" s="821" t="s">
        <v>886</v>
      </c>
      <c r="P502" s="533">
        <v>1063191</v>
      </c>
      <c r="Q502" s="820">
        <v>10631.91</v>
      </c>
      <c r="R502" t="str">
        <f t="shared" si="10"/>
        <v>201707</v>
      </c>
      <c r="S502" s="405">
        <f>Q502</f>
        <v>10631.91</v>
      </c>
    </row>
    <row r="503" spans="1:19">
      <c r="A503" s="821" t="s">
        <v>877</v>
      </c>
      <c r="B503" s="821" t="s">
        <v>878</v>
      </c>
      <c r="C503" s="821" t="s">
        <v>879</v>
      </c>
      <c r="D503" s="821" t="s">
        <v>880</v>
      </c>
      <c r="E503" s="821" t="s">
        <v>880</v>
      </c>
      <c r="F503" s="821" t="s">
        <v>881</v>
      </c>
      <c r="G503" s="821" t="s">
        <v>882</v>
      </c>
      <c r="H503" s="821" t="s">
        <v>883</v>
      </c>
      <c r="I503" s="821" t="s">
        <v>1002</v>
      </c>
      <c r="J503" s="821" t="s">
        <v>885</v>
      </c>
      <c r="K503" s="821" t="s">
        <v>886</v>
      </c>
      <c r="L503" s="821" t="s">
        <v>1002</v>
      </c>
      <c r="M503" s="821" t="s">
        <v>1105</v>
      </c>
      <c r="N503" s="821" t="s">
        <v>886</v>
      </c>
      <c r="O503" s="821" t="s">
        <v>886</v>
      </c>
      <c r="P503" s="533">
        <v>173501</v>
      </c>
      <c r="Q503" s="820">
        <v>1735.01</v>
      </c>
      <c r="R503" t="str">
        <f t="shared" si="10"/>
        <v>201707</v>
      </c>
      <c r="S503" s="405">
        <f>Q503</f>
        <v>1735.01</v>
      </c>
    </row>
    <row r="504" spans="1:19">
      <c r="A504" s="821" t="s">
        <v>877</v>
      </c>
      <c r="B504" s="821" t="s">
        <v>878</v>
      </c>
      <c r="C504" s="821" t="s">
        <v>879</v>
      </c>
      <c r="D504" s="821" t="s">
        <v>880</v>
      </c>
      <c r="E504" s="821" t="s">
        <v>880</v>
      </c>
      <c r="F504" s="821" t="s">
        <v>881</v>
      </c>
      <c r="G504" s="821" t="s">
        <v>882</v>
      </c>
      <c r="H504" s="821" t="s">
        <v>883</v>
      </c>
      <c r="I504" s="821" t="s">
        <v>1003</v>
      </c>
      <c r="J504" s="821" t="s">
        <v>885</v>
      </c>
      <c r="K504" s="821" t="s">
        <v>886</v>
      </c>
      <c r="L504" s="821" t="s">
        <v>1003</v>
      </c>
      <c r="M504" s="821" t="s">
        <v>1105</v>
      </c>
      <c r="N504" s="821" t="s">
        <v>886</v>
      </c>
      <c r="O504" s="821" t="s">
        <v>886</v>
      </c>
      <c r="P504" s="533">
        <v>621205</v>
      </c>
      <c r="Q504" s="820">
        <v>6212.05</v>
      </c>
      <c r="R504" t="str">
        <f t="shared" si="10"/>
        <v>201707</v>
      </c>
      <c r="S504" s="405">
        <f>Q504</f>
        <v>6212.05</v>
      </c>
    </row>
    <row r="505" spans="1:19">
      <c r="A505" s="821" t="s">
        <v>877</v>
      </c>
      <c r="B505" s="821" t="s">
        <v>878</v>
      </c>
      <c r="C505" s="821" t="s">
        <v>879</v>
      </c>
      <c r="D505" s="821" t="s">
        <v>880</v>
      </c>
      <c r="E505" s="821" t="s">
        <v>880</v>
      </c>
      <c r="F505" s="821" t="s">
        <v>881</v>
      </c>
      <c r="G505" s="821" t="s">
        <v>882</v>
      </c>
      <c r="H505" s="821" t="s">
        <v>883</v>
      </c>
      <c r="I505" s="821" t="s">
        <v>1003</v>
      </c>
      <c r="J505" s="821" t="s">
        <v>885</v>
      </c>
      <c r="K505" s="821" t="s">
        <v>886</v>
      </c>
      <c r="L505" s="821" t="s">
        <v>1003</v>
      </c>
      <c r="M505" s="821" t="s">
        <v>1105</v>
      </c>
      <c r="N505" s="821" t="s">
        <v>888</v>
      </c>
      <c r="O505" s="821" t="s">
        <v>886</v>
      </c>
      <c r="P505" s="533">
        <v>2126382</v>
      </c>
      <c r="Q505" s="820">
        <v>-21263.82</v>
      </c>
      <c r="R505" t="str">
        <f t="shared" si="10"/>
        <v>201707</v>
      </c>
      <c r="S505" s="405">
        <f>-Q505</f>
        <v>21263.82</v>
      </c>
    </row>
    <row r="506" spans="1:19">
      <c r="A506" s="821" t="s">
        <v>877</v>
      </c>
      <c r="B506" s="821" t="s">
        <v>878</v>
      </c>
      <c r="C506" s="821" t="s">
        <v>879</v>
      </c>
      <c r="D506" s="821" t="s">
        <v>880</v>
      </c>
      <c r="E506" s="821" t="s">
        <v>880</v>
      </c>
      <c r="F506" s="821" t="s">
        <v>881</v>
      </c>
      <c r="G506" s="821" t="s">
        <v>882</v>
      </c>
      <c r="H506" s="821" t="s">
        <v>883</v>
      </c>
      <c r="I506" s="821" t="s">
        <v>1004</v>
      </c>
      <c r="J506" s="821" t="s">
        <v>885</v>
      </c>
      <c r="K506" s="821" t="s">
        <v>886</v>
      </c>
      <c r="L506" s="821" t="s">
        <v>1004</v>
      </c>
      <c r="M506" s="821" t="s">
        <v>1105</v>
      </c>
      <c r="N506" s="821" t="s">
        <v>888</v>
      </c>
      <c r="O506" s="821" t="s">
        <v>886</v>
      </c>
      <c r="P506" s="533">
        <v>5037</v>
      </c>
      <c r="Q506" s="820">
        <v>-50.37</v>
      </c>
      <c r="R506" t="str">
        <f t="shared" si="10"/>
        <v>201707</v>
      </c>
      <c r="S506" s="405">
        <f>-Q506</f>
        <v>50.37</v>
      </c>
    </row>
    <row r="507" spans="1:19">
      <c r="A507" s="821" t="s">
        <v>877</v>
      </c>
      <c r="B507" s="821" t="s">
        <v>878</v>
      </c>
      <c r="C507" s="821" t="s">
        <v>879</v>
      </c>
      <c r="D507" s="821" t="s">
        <v>880</v>
      </c>
      <c r="E507" s="821" t="s">
        <v>880</v>
      </c>
      <c r="F507" s="821" t="s">
        <v>881</v>
      </c>
      <c r="G507" s="821" t="s">
        <v>882</v>
      </c>
      <c r="H507" s="821" t="s">
        <v>883</v>
      </c>
      <c r="I507" s="821" t="s">
        <v>1005</v>
      </c>
      <c r="J507" s="821" t="s">
        <v>885</v>
      </c>
      <c r="K507" s="821" t="s">
        <v>886</v>
      </c>
      <c r="L507" s="821" t="s">
        <v>1005</v>
      </c>
      <c r="M507" s="821" t="s">
        <v>1105</v>
      </c>
      <c r="N507" s="821" t="s">
        <v>886</v>
      </c>
      <c r="O507" s="821" t="s">
        <v>886</v>
      </c>
      <c r="P507" s="533">
        <v>19400000</v>
      </c>
      <c r="Q507" s="794">
        <v>194000</v>
      </c>
      <c r="R507" t="str">
        <f t="shared" si="10"/>
        <v>201707</v>
      </c>
      <c r="S507" s="405">
        <f>Q507</f>
        <v>194000</v>
      </c>
    </row>
    <row r="508" spans="1:19">
      <c r="A508" s="821" t="s">
        <v>877</v>
      </c>
      <c r="B508" s="821" t="s">
        <v>878</v>
      </c>
      <c r="C508" s="821" t="s">
        <v>879</v>
      </c>
      <c r="D508" s="821" t="s">
        <v>880</v>
      </c>
      <c r="E508" s="821" t="s">
        <v>880</v>
      </c>
      <c r="F508" s="821" t="s">
        <v>881</v>
      </c>
      <c r="G508" s="821" t="s">
        <v>882</v>
      </c>
      <c r="H508" s="821" t="s">
        <v>883</v>
      </c>
      <c r="I508" s="821" t="s">
        <v>1005</v>
      </c>
      <c r="J508" s="821" t="s">
        <v>885</v>
      </c>
      <c r="K508" s="821" t="s">
        <v>886</v>
      </c>
      <c r="L508" s="821" t="s">
        <v>1005</v>
      </c>
      <c r="M508" s="821" t="s">
        <v>1105</v>
      </c>
      <c r="N508" s="821" t="s">
        <v>886</v>
      </c>
      <c r="O508" s="821" t="s">
        <v>886</v>
      </c>
      <c r="P508" s="533">
        <v>310162</v>
      </c>
      <c r="Q508" s="820">
        <v>3101.62</v>
      </c>
      <c r="R508" t="str">
        <f t="shared" si="10"/>
        <v>201707</v>
      </c>
      <c r="S508" s="405">
        <f>Q508</f>
        <v>3101.62</v>
      </c>
    </row>
    <row r="509" spans="1:19">
      <c r="A509" s="821" t="s">
        <v>877</v>
      </c>
      <c r="B509" s="821" t="s">
        <v>878</v>
      </c>
      <c r="C509" s="821" t="s">
        <v>879</v>
      </c>
      <c r="D509" s="821" t="s">
        <v>880</v>
      </c>
      <c r="E509" s="821" t="s">
        <v>880</v>
      </c>
      <c r="F509" s="821" t="s">
        <v>881</v>
      </c>
      <c r="G509" s="821" t="s">
        <v>882</v>
      </c>
      <c r="H509" s="821" t="s">
        <v>883</v>
      </c>
      <c r="I509" s="821" t="s">
        <v>1005</v>
      </c>
      <c r="J509" s="821" t="s">
        <v>885</v>
      </c>
      <c r="K509" s="821" t="s">
        <v>886</v>
      </c>
      <c r="L509" s="821" t="s">
        <v>1005</v>
      </c>
      <c r="M509" s="821" t="s">
        <v>1105</v>
      </c>
      <c r="N509" s="821" t="s">
        <v>886</v>
      </c>
      <c r="O509" s="821" t="s">
        <v>886</v>
      </c>
      <c r="P509" s="533">
        <v>10074</v>
      </c>
      <c r="Q509" s="820">
        <v>100.74</v>
      </c>
      <c r="R509" t="str">
        <f t="shared" si="10"/>
        <v>201707</v>
      </c>
      <c r="S509" s="405">
        <f>Q509</f>
        <v>100.74</v>
      </c>
    </row>
    <row r="510" spans="1:19">
      <c r="A510" s="821" t="s">
        <v>877</v>
      </c>
      <c r="B510" s="821" t="s">
        <v>878</v>
      </c>
      <c r="C510" s="821" t="s">
        <v>879</v>
      </c>
      <c r="D510" s="821" t="s">
        <v>880</v>
      </c>
      <c r="E510" s="821" t="s">
        <v>880</v>
      </c>
      <c r="F510" s="821" t="s">
        <v>881</v>
      </c>
      <c r="G510" s="821" t="s">
        <v>882</v>
      </c>
      <c r="H510" s="821" t="s">
        <v>883</v>
      </c>
      <c r="I510" s="821" t="s">
        <v>1005</v>
      </c>
      <c r="J510" s="821" t="s">
        <v>885</v>
      </c>
      <c r="K510" s="821" t="s">
        <v>886</v>
      </c>
      <c r="L510" s="821" t="s">
        <v>1005</v>
      </c>
      <c r="M510" s="821" t="s">
        <v>1105</v>
      </c>
      <c r="N510" s="821" t="s">
        <v>888</v>
      </c>
      <c r="O510" s="821" t="s">
        <v>886</v>
      </c>
      <c r="P510" s="533">
        <v>571712</v>
      </c>
      <c r="Q510" s="820">
        <v>-5717.12</v>
      </c>
      <c r="R510" t="str">
        <f t="shared" si="10"/>
        <v>201707</v>
      </c>
      <c r="S510" s="405">
        <f>-Q510</f>
        <v>5717.12</v>
      </c>
    </row>
    <row r="511" spans="1:19">
      <c r="A511" s="821" t="s">
        <v>877</v>
      </c>
      <c r="B511" s="821" t="s">
        <v>878</v>
      </c>
      <c r="C511" s="821" t="s">
        <v>879</v>
      </c>
      <c r="D511" s="821" t="s">
        <v>880</v>
      </c>
      <c r="E511" s="821" t="s">
        <v>880</v>
      </c>
      <c r="F511" s="821" t="s">
        <v>881</v>
      </c>
      <c r="G511" s="821" t="s">
        <v>882</v>
      </c>
      <c r="H511" s="821" t="s">
        <v>883</v>
      </c>
      <c r="I511" s="821" t="s">
        <v>1006</v>
      </c>
      <c r="J511" s="821" t="s">
        <v>885</v>
      </c>
      <c r="K511" s="821" t="s">
        <v>886</v>
      </c>
      <c r="L511" s="821" t="s">
        <v>1006</v>
      </c>
      <c r="M511" s="821" t="s">
        <v>1105</v>
      </c>
      <c r="N511" s="821" t="s">
        <v>886</v>
      </c>
      <c r="O511" s="821" t="s">
        <v>886</v>
      </c>
      <c r="P511" s="533">
        <v>1616930</v>
      </c>
      <c r="Q511" s="820">
        <v>16169.3</v>
      </c>
      <c r="R511" t="str">
        <f t="shared" si="10"/>
        <v>201707</v>
      </c>
      <c r="S511" s="405">
        <f>Q511</f>
        <v>16169.3</v>
      </c>
    </row>
    <row r="512" spans="1:19">
      <c r="A512" s="821" t="s">
        <v>877</v>
      </c>
      <c r="B512" s="821" t="s">
        <v>878</v>
      </c>
      <c r="C512" s="821" t="s">
        <v>879</v>
      </c>
      <c r="D512" s="821" t="s">
        <v>880</v>
      </c>
      <c r="E512" s="821" t="s">
        <v>880</v>
      </c>
      <c r="F512" s="821" t="s">
        <v>881</v>
      </c>
      <c r="G512" s="821" t="s">
        <v>882</v>
      </c>
      <c r="H512" s="821" t="s">
        <v>883</v>
      </c>
      <c r="I512" s="821" t="s">
        <v>1006</v>
      </c>
      <c r="J512" s="821" t="s">
        <v>885</v>
      </c>
      <c r="K512" s="821" t="s">
        <v>886</v>
      </c>
      <c r="L512" s="821" t="s">
        <v>1006</v>
      </c>
      <c r="M512" s="821" t="s">
        <v>1105</v>
      </c>
      <c r="N512" s="821" t="s">
        <v>888</v>
      </c>
      <c r="O512" s="821" t="s">
        <v>886</v>
      </c>
      <c r="P512" s="533">
        <v>620324</v>
      </c>
      <c r="Q512" s="820">
        <v>-6203.24</v>
      </c>
      <c r="R512" t="str">
        <f t="shared" si="10"/>
        <v>201707</v>
      </c>
      <c r="S512" s="405">
        <f>-Q512</f>
        <v>6203.24</v>
      </c>
    </row>
    <row r="513" spans="1:19">
      <c r="A513" s="821" t="s">
        <v>877</v>
      </c>
      <c r="B513" s="821" t="s">
        <v>878</v>
      </c>
      <c r="C513" s="821" t="s">
        <v>879</v>
      </c>
      <c r="D513" s="821" t="s">
        <v>880</v>
      </c>
      <c r="E513" s="821" t="s">
        <v>880</v>
      </c>
      <c r="F513" s="821" t="s">
        <v>881</v>
      </c>
      <c r="G513" s="821" t="s">
        <v>882</v>
      </c>
      <c r="H513" s="821" t="s">
        <v>883</v>
      </c>
      <c r="I513" s="821" t="s">
        <v>1007</v>
      </c>
      <c r="J513" s="821" t="s">
        <v>885</v>
      </c>
      <c r="K513" s="821" t="s">
        <v>886</v>
      </c>
      <c r="L513" s="821" t="s">
        <v>1007</v>
      </c>
      <c r="M513" s="821" t="s">
        <v>1105</v>
      </c>
      <c r="N513" s="821" t="s">
        <v>886</v>
      </c>
      <c r="O513" s="821" t="s">
        <v>886</v>
      </c>
      <c r="P513" s="533">
        <v>280000000</v>
      </c>
      <c r="Q513" s="794">
        <v>2800000</v>
      </c>
      <c r="R513" t="str">
        <f t="shared" si="10"/>
        <v>201707</v>
      </c>
      <c r="S513" s="405">
        <f>Q513</f>
        <v>2800000</v>
      </c>
    </row>
    <row r="514" spans="1:19">
      <c r="A514" s="821" t="s">
        <v>877</v>
      </c>
      <c r="B514" s="821" t="s">
        <v>878</v>
      </c>
      <c r="C514" s="821" t="s">
        <v>879</v>
      </c>
      <c r="D514" s="821" t="s">
        <v>880</v>
      </c>
      <c r="E514" s="821" t="s">
        <v>880</v>
      </c>
      <c r="F514" s="821" t="s">
        <v>881</v>
      </c>
      <c r="G514" s="821" t="s">
        <v>882</v>
      </c>
      <c r="H514" s="821" t="s">
        <v>883</v>
      </c>
      <c r="I514" s="821" t="s">
        <v>1007</v>
      </c>
      <c r="J514" s="821" t="s">
        <v>885</v>
      </c>
      <c r="K514" s="821" t="s">
        <v>886</v>
      </c>
      <c r="L514" s="821" t="s">
        <v>1007</v>
      </c>
      <c r="M514" s="821" t="s">
        <v>1105</v>
      </c>
      <c r="N514" s="821" t="s">
        <v>888</v>
      </c>
      <c r="O514" s="821" t="s">
        <v>886</v>
      </c>
      <c r="P514" s="533">
        <v>61286834</v>
      </c>
      <c r="Q514" s="794">
        <v>-612868.34</v>
      </c>
      <c r="R514" t="str">
        <f t="shared" si="10"/>
        <v>201707</v>
      </c>
      <c r="S514" s="405">
        <f>-Q514</f>
        <v>612868.34</v>
      </c>
    </row>
    <row r="515" spans="1:19">
      <c r="A515" s="821" t="s">
        <v>877</v>
      </c>
      <c r="B515" s="821" t="s">
        <v>878</v>
      </c>
      <c r="C515" s="821" t="s">
        <v>879</v>
      </c>
      <c r="D515" s="821" t="s">
        <v>880</v>
      </c>
      <c r="E515" s="821" t="s">
        <v>880</v>
      </c>
      <c r="F515" s="821" t="s">
        <v>881</v>
      </c>
      <c r="G515" s="821" t="s">
        <v>882</v>
      </c>
      <c r="H515" s="821" t="s">
        <v>883</v>
      </c>
      <c r="I515" s="821" t="s">
        <v>1007</v>
      </c>
      <c r="J515" s="821" t="s">
        <v>885</v>
      </c>
      <c r="K515" s="821" t="s">
        <v>886</v>
      </c>
      <c r="L515" s="821" t="s">
        <v>1007</v>
      </c>
      <c r="M515" s="821" t="s">
        <v>1105</v>
      </c>
      <c r="N515" s="821" t="s">
        <v>888</v>
      </c>
      <c r="O515" s="821" t="s">
        <v>886</v>
      </c>
      <c r="P515" s="533">
        <v>1271717</v>
      </c>
      <c r="Q515" s="820">
        <v>-12717.17</v>
      </c>
      <c r="R515" t="str">
        <f t="shared" ref="R515:R578" si="12">MID(L515,1,6)</f>
        <v>201707</v>
      </c>
      <c r="S515" s="405">
        <f>-Q515</f>
        <v>12717.17</v>
      </c>
    </row>
    <row r="516" spans="1:19">
      <c r="A516" s="821" t="s">
        <v>877</v>
      </c>
      <c r="B516" s="821" t="s">
        <v>878</v>
      </c>
      <c r="C516" s="821" t="s">
        <v>879</v>
      </c>
      <c r="D516" s="821" t="s">
        <v>880</v>
      </c>
      <c r="E516" s="821" t="s">
        <v>880</v>
      </c>
      <c r="F516" s="821" t="s">
        <v>881</v>
      </c>
      <c r="G516" s="821" t="s">
        <v>882</v>
      </c>
      <c r="H516" s="821" t="s">
        <v>883</v>
      </c>
      <c r="I516" s="821" t="s">
        <v>1008</v>
      </c>
      <c r="J516" s="821" t="s">
        <v>885</v>
      </c>
      <c r="K516" s="821" t="s">
        <v>886</v>
      </c>
      <c r="L516" s="821" t="s">
        <v>1008</v>
      </c>
      <c r="M516" s="821" t="s">
        <v>1105</v>
      </c>
      <c r="N516" s="821" t="s">
        <v>886</v>
      </c>
      <c r="O516" s="821" t="s">
        <v>886</v>
      </c>
      <c r="P516" s="533">
        <v>515562</v>
      </c>
      <c r="Q516" s="820">
        <v>5155.62</v>
      </c>
      <c r="R516" t="str">
        <f t="shared" si="12"/>
        <v>201707</v>
      </c>
      <c r="S516" s="405">
        <f>Q516</f>
        <v>5155.62</v>
      </c>
    </row>
    <row r="517" spans="1:19">
      <c r="A517" s="821" t="s">
        <v>877</v>
      </c>
      <c r="B517" s="821" t="s">
        <v>878</v>
      </c>
      <c r="C517" s="821" t="s">
        <v>879</v>
      </c>
      <c r="D517" s="821" t="s">
        <v>880</v>
      </c>
      <c r="E517" s="821" t="s">
        <v>880</v>
      </c>
      <c r="F517" s="821" t="s">
        <v>881</v>
      </c>
      <c r="G517" s="821" t="s">
        <v>882</v>
      </c>
      <c r="H517" s="821" t="s">
        <v>883</v>
      </c>
      <c r="I517" s="821" t="s">
        <v>1008</v>
      </c>
      <c r="J517" s="821" t="s">
        <v>885</v>
      </c>
      <c r="K517" s="821" t="s">
        <v>886</v>
      </c>
      <c r="L517" s="821" t="s">
        <v>1008</v>
      </c>
      <c r="M517" s="821" t="s">
        <v>1105</v>
      </c>
      <c r="N517" s="821" t="s">
        <v>888</v>
      </c>
      <c r="O517" s="821" t="s">
        <v>886</v>
      </c>
      <c r="P517" s="533">
        <v>522654</v>
      </c>
      <c r="Q517" s="820">
        <v>-5226.54</v>
      </c>
      <c r="R517" t="str">
        <f t="shared" si="12"/>
        <v>201707</v>
      </c>
      <c r="S517" s="405">
        <f>-Q517</f>
        <v>5226.54</v>
      </c>
    </row>
    <row r="518" spans="1:19">
      <c r="A518" s="821" t="s">
        <v>877</v>
      </c>
      <c r="B518" s="821" t="s">
        <v>878</v>
      </c>
      <c r="C518" s="821" t="s">
        <v>879</v>
      </c>
      <c r="D518" s="821" t="s">
        <v>880</v>
      </c>
      <c r="E518" s="821" t="s">
        <v>880</v>
      </c>
      <c r="F518" s="821" t="s">
        <v>881</v>
      </c>
      <c r="G518" s="821" t="s">
        <v>882</v>
      </c>
      <c r="H518" s="821" t="s">
        <v>883</v>
      </c>
      <c r="I518" s="821" t="s">
        <v>1009</v>
      </c>
      <c r="J518" s="821" t="s">
        <v>885</v>
      </c>
      <c r="K518" s="821" t="s">
        <v>886</v>
      </c>
      <c r="L518" s="821" t="s">
        <v>1009</v>
      </c>
      <c r="M518" s="821" t="s">
        <v>1105</v>
      </c>
      <c r="N518" s="821" t="s">
        <v>886</v>
      </c>
      <c r="O518" s="821" t="s">
        <v>886</v>
      </c>
      <c r="P518" s="533">
        <v>435092</v>
      </c>
      <c r="Q518" s="820">
        <v>4350.92</v>
      </c>
      <c r="R518" t="str">
        <f t="shared" si="12"/>
        <v>201707</v>
      </c>
      <c r="S518" s="405">
        <f>Q518</f>
        <v>4350.92</v>
      </c>
    </row>
    <row r="519" spans="1:19">
      <c r="A519" s="821" t="s">
        <v>877</v>
      </c>
      <c r="B519" s="821" t="s">
        <v>878</v>
      </c>
      <c r="C519" s="821" t="s">
        <v>879</v>
      </c>
      <c r="D519" s="821" t="s">
        <v>880</v>
      </c>
      <c r="E519" s="821" t="s">
        <v>880</v>
      </c>
      <c r="F519" s="821" t="s">
        <v>881</v>
      </c>
      <c r="G519" s="821" t="s">
        <v>882</v>
      </c>
      <c r="H519" s="821" t="s">
        <v>883</v>
      </c>
      <c r="I519" s="821" t="s">
        <v>1009</v>
      </c>
      <c r="J519" s="821" t="s">
        <v>885</v>
      </c>
      <c r="K519" s="821" t="s">
        <v>886</v>
      </c>
      <c r="L519" s="821" t="s">
        <v>1009</v>
      </c>
      <c r="M519" s="821" t="s">
        <v>1105</v>
      </c>
      <c r="N519" s="821" t="s">
        <v>886</v>
      </c>
      <c r="O519" s="821" t="s">
        <v>886</v>
      </c>
      <c r="P519" s="533">
        <v>108879510</v>
      </c>
      <c r="Q519" s="823"/>
      <c r="R519" t="str">
        <f t="shared" si="12"/>
        <v>201707</v>
      </c>
      <c r="S519" s="405">
        <f>Q519</f>
        <v>0</v>
      </c>
    </row>
    <row r="520" spans="1:19">
      <c r="A520" s="821" t="s">
        <v>877</v>
      </c>
      <c r="B520" s="821" t="s">
        <v>878</v>
      </c>
      <c r="C520" s="821" t="s">
        <v>879</v>
      </c>
      <c r="D520" s="821" t="s">
        <v>880</v>
      </c>
      <c r="E520" s="821" t="s">
        <v>880</v>
      </c>
      <c r="F520" s="821" t="s">
        <v>881</v>
      </c>
      <c r="G520" s="821" t="s">
        <v>882</v>
      </c>
      <c r="H520" s="821" t="s">
        <v>883</v>
      </c>
      <c r="I520" s="821" t="s">
        <v>1010</v>
      </c>
      <c r="J520" s="821" t="s">
        <v>885</v>
      </c>
      <c r="K520" s="821" t="s">
        <v>886</v>
      </c>
      <c r="L520" s="821" t="s">
        <v>1010</v>
      </c>
      <c r="M520" s="821" t="s">
        <v>1105</v>
      </c>
      <c r="N520" s="821" t="s">
        <v>886</v>
      </c>
      <c r="O520" s="821" t="s">
        <v>886</v>
      </c>
      <c r="P520" s="533">
        <v>6325</v>
      </c>
      <c r="Q520" s="820">
        <v>63.25</v>
      </c>
      <c r="R520" t="str">
        <f t="shared" si="12"/>
        <v>201707</v>
      </c>
      <c r="S520" s="405">
        <f>Q520</f>
        <v>63.25</v>
      </c>
    </row>
    <row r="521" spans="1:19">
      <c r="A521" s="821" t="s">
        <v>877</v>
      </c>
      <c r="B521" s="821" t="s">
        <v>878</v>
      </c>
      <c r="C521" s="821" t="s">
        <v>879</v>
      </c>
      <c r="D521" s="821" t="s">
        <v>880</v>
      </c>
      <c r="E521" s="821" t="s">
        <v>880</v>
      </c>
      <c r="F521" s="821" t="s">
        <v>881</v>
      </c>
      <c r="G521" s="821" t="s">
        <v>882</v>
      </c>
      <c r="H521" s="821" t="s">
        <v>883</v>
      </c>
      <c r="I521" s="821" t="s">
        <v>1010</v>
      </c>
      <c r="J521" s="821" t="s">
        <v>885</v>
      </c>
      <c r="K521" s="821" t="s">
        <v>886</v>
      </c>
      <c r="L521" s="821" t="s">
        <v>1010</v>
      </c>
      <c r="M521" s="821" t="s">
        <v>1105</v>
      </c>
      <c r="N521" s="821" t="s">
        <v>888</v>
      </c>
      <c r="O521" s="821" t="s">
        <v>886</v>
      </c>
      <c r="P521" s="533">
        <v>144285</v>
      </c>
      <c r="Q521" s="820">
        <v>-1442.85</v>
      </c>
      <c r="R521" t="str">
        <f t="shared" si="12"/>
        <v>201707</v>
      </c>
      <c r="S521" s="405">
        <f>-Q521</f>
        <v>1442.85</v>
      </c>
    </row>
    <row r="522" spans="1:19">
      <c r="A522" s="821" t="s">
        <v>877</v>
      </c>
      <c r="B522" s="821" t="s">
        <v>878</v>
      </c>
      <c r="C522" s="821" t="s">
        <v>879</v>
      </c>
      <c r="D522" s="821" t="s">
        <v>880</v>
      </c>
      <c r="E522" s="821" t="s">
        <v>880</v>
      </c>
      <c r="F522" s="821" t="s">
        <v>881</v>
      </c>
      <c r="G522" s="821" t="s">
        <v>882</v>
      </c>
      <c r="H522" s="821" t="s">
        <v>883</v>
      </c>
      <c r="I522" s="821" t="s">
        <v>1010</v>
      </c>
      <c r="J522" s="821" t="s">
        <v>885</v>
      </c>
      <c r="K522" s="821" t="s">
        <v>886</v>
      </c>
      <c r="L522" s="821" t="s">
        <v>1010</v>
      </c>
      <c r="M522" s="821" t="s">
        <v>1105</v>
      </c>
      <c r="N522" s="821" t="s">
        <v>888</v>
      </c>
      <c r="O522" s="821" t="s">
        <v>886</v>
      </c>
      <c r="P522" s="533">
        <v>15346800</v>
      </c>
      <c r="Q522" s="794">
        <v>-153468</v>
      </c>
      <c r="R522" t="str">
        <f t="shared" si="12"/>
        <v>201707</v>
      </c>
      <c r="S522" s="405">
        <f>-Q522</f>
        <v>153468</v>
      </c>
    </row>
    <row r="523" spans="1:19">
      <c r="A523" s="821" t="s">
        <v>877</v>
      </c>
      <c r="B523" s="821" t="s">
        <v>878</v>
      </c>
      <c r="C523" s="821" t="s">
        <v>879</v>
      </c>
      <c r="D523" s="821" t="s">
        <v>880</v>
      </c>
      <c r="E523" s="821" t="s">
        <v>880</v>
      </c>
      <c r="F523" s="821" t="s">
        <v>881</v>
      </c>
      <c r="G523" s="821" t="s">
        <v>882</v>
      </c>
      <c r="H523" s="821" t="s">
        <v>883</v>
      </c>
      <c r="I523" s="821" t="s">
        <v>1009</v>
      </c>
      <c r="J523" s="821" t="s">
        <v>885</v>
      </c>
      <c r="K523" s="821" t="s">
        <v>886</v>
      </c>
      <c r="L523" s="821" t="s">
        <v>1009</v>
      </c>
      <c r="M523" s="821" t="s">
        <v>1105</v>
      </c>
      <c r="N523" s="821" t="s">
        <v>888</v>
      </c>
      <c r="O523" s="821" t="s">
        <v>886</v>
      </c>
      <c r="P523" s="533">
        <v>108879510</v>
      </c>
      <c r="Q523" s="823"/>
      <c r="R523" t="str">
        <f t="shared" si="12"/>
        <v>201707</v>
      </c>
      <c r="S523" s="405">
        <f>-Q523</f>
        <v>0</v>
      </c>
    </row>
    <row r="524" spans="1:19">
      <c r="A524" s="821" t="s">
        <v>877</v>
      </c>
      <c r="B524" s="821" t="s">
        <v>878</v>
      </c>
      <c r="C524" s="821" t="s">
        <v>879</v>
      </c>
      <c r="D524" s="821" t="s">
        <v>880</v>
      </c>
      <c r="E524" s="821" t="s">
        <v>880</v>
      </c>
      <c r="F524" s="821" t="s">
        <v>881</v>
      </c>
      <c r="G524" s="821" t="s">
        <v>882</v>
      </c>
      <c r="H524" s="821" t="s">
        <v>883</v>
      </c>
      <c r="I524" s="821" t="s">
        <v>1011</v>
      </c>
      <c r="J524" s="821" t="s">
        <v>885</v>
      </c>
      <c r="K524" s="821" t="s">
        <v>886</v>
      </c>
      <c r="L524" s="821" t="s">
        <v>1011</v>
      </c>
      <c r="M524" s="821" t="s">
        <v>1105</v>
      </c>
      <c r="N524" s="821" t="s">
        <v>886</v>
      </c>
      <c r="O524" s="821" t="s">
        <v>886</v>
      </c>
      <c r="P524" s="533">
        <v>55587</v>
      </c>
      <c r="Q524" s="820">
        <v>555.87</v>
      </c>
      <c r="R524" t="str">
        <f t="shared" si="12"/>
        <v>201708</v>
      </c>
      <c r="S524" s="405">
        <f>Q524</f>
        <v>555.87</v>
      </c>
    </row>
    <row r="525" spans="1:19">
      <c r="A525" s="821" t="s">
        <v>877</v>
      </c>
      <c r="B525" s="821" t="s">
        <v>878</v>
      </c>
      <c r="C525" s="821" t="s">
        <v>879</v>
      </c>
      <c r="D525" s="821" t="s">
        <v>880</v>
      </c>
      <c r="E525" s="821" t="s">
        <v>880</v>
      </c>
      <c r="F525" s="821" t="s">
        <v>881</v>
      </c>
      <c r="G525" s="821" t="s">
        <v>882</v>
      </c>
      <c r="H525" s="821" t="s">
        <v>883</v>
      </c>
      <c r="I525" s="821" t="s">
        <v>1011</v>
      </c>
      <c r="J525" s="821" t="s">
        <v>885</v>
      </c>
      <c r="K525" s="821" t="s">
        <v>886</v>
      </c>
      <c r="L525" s="821" t="s">
        <v>1011</v>
      </c>
      <c r="M525" s="821" t="s">
        <v>1105</v>
      </c>
      <c r="N525" s="821" t="s">
        <v>888</v>
      </c>
      <c r="O525" s="821" t="s">
        <v>886</v>
      </c>
      <c r="P525" s="533">
        <v>25192159</v>
      </c>
      <c r="Q525" s="794">
        <v>-251921.59</v>
      </c>
      <c r="R525" t="str">
        <f t="shared" si="12"/>
        <v>201708</v>
      </c>
      <c r="S525" s="405">
        <f>-Q525</f>
        <v>251921.59</v>
      </c>
    </row>
    <row r="526" spans="1:19">
      <c r="A526" s="821" t="s">
        <v>877</v>
      </c>
      <c r="B526" s="821" t="s">
        <v>878</v>
      </c>
      <c r="C526" s="821" t="s">
        <v>879</v>
      </c>
      <c r="D526" s="821" t="s">
        <v>880</v>
      </c>
      <c r="E526" s="821" t="s">
        <v>880</v>
      </c>
      <c r="F526" s="821" t="s">
        <v>881</v>
      </c>
      <c r="G526" s="821" t="s">
        <v>882</v>
      </c>
      <c r="H526" s="821" t="s">
        <v>883</v>
      </c>
      <c r="I526" s="821" t="s">
        <v>1012</v>
      </c>
      <c r="J526" s="821" t="s">
        <v>885</v>
      </c>
      <c r="K526" s="821" t="s">
        <v>886</v>
      </c>
      <c r="L526" s="821" t="s">
        <v>1012</v>
      </c>
      <c r="M526" s="821" t="s">
        <v>1105</v>
      </c>
      <c r="N526" s="821" t="s">
        <v>886</v>
      </c>
      <c r="O526" s="821" t="s">
        <v>886</v>
      </c>
      <c r="P526" s="533">
        <v>20000000</v>
      </c>
      <c r="Q526" s="794">
        <v>200000</v>
      </c>
      <c r="R526" t="str">
        <f t="shared" si="12"/>
        <v>201708</v>
      </c>
      <c r="S526" s="405">
        <f>Q526</f>
        <v>200000</v>
      </c>
    </row>
    <row r="527" spans="1:19">
      <c r="A527" s="821" t="s">
        <v>877</v>
      </c>
      <c r="B527" s="821" t="s">
        <v>878</v>
      </c>
      <c r="C527" s="821" t="s">
        <v>879</v>
      </c>
      <c r="D527" s="821" t="s">
        <v>880</v>
      </c>
      <c r="E527" s="821" t="s">
        <v>880</v>
      </c>
      <c r="F527" s="821" t="s">
        <v>881</v>
      </c>
      <c r="G527" s="821" t="s">
        <v>882</v>
      </c>
      <c r="H527" s="821" t="s">
        <v>883</v>
      </c>
      <c r="I527" s="821" t="s">
        <v>1012</v>
      </c>
      <c r="J527" s="821" t="s">
        <v>885</v>
      </c>
      <c r="K527" s="821" t="s">
        <v>886</v>
      </c>
      <c r="L527" s="821" t="s">
        <v>1012</v>
      </c>
      <c r="M527" s="821" t="s">
        <v>1105</v>
      </c>
      <c r="N527" s="821" t="s">
        <v>888</v>
      </c>
      <c r="O527" s="821" t="s">
        <v>886</v>
      </c>
      <c r="P527" s="533">
        <v>124898185</v>
      </c>
      <c r="Q527" s="794">
        <v>-1248981.8500000001</v>
      </c>
      <c r="R527" t="str">
        <f t="shared" si="12"/>
        <v>201708</v>
      </c>
      <c r="S527" s="405">
        <f>-Q527</f>
        <v>1248981.8500000001</v>
      </c>
    </row>
    <row r="528" spans="1:19">
      <c r="A528" s="821" t="s">
        <v>877</v>
      </c>
      <c r="B528" s="821" t="s">
        <v>878</v>
      </c>
      <c r="C528" s="821" t="s">
        <v>879</v>
      </c>
      <c r="D528" s="821" t="s">
        <v>880</v>
      </c>
      <c r="E528" s="821" t="s">
        <v>880</v>
      </c>
      <c r="F528" s="821" t="s">
        <v>881</v>
      </c>
      <c r="G528" s="821" t="s">
        <v>882</v>
      </c>
      <c r="H528" s="821" t="s">
        <v>883</v>
      </c>
      <c r="I528" s="821" t="s">
        <v>1012</v>
      </c>
      <c r="J528" s="821" t="s">
        <v>885</v>
      </c>
      <c r="K528" s="821" t="s">
        <v>886</v>
      </c>
      <c r="L528" s="821" t="s">
        <v>1012</v>
      </c>
      <c r="M528" s="821" t="s">
        <v>1105</v>
      </c>
      <c r="N528" s="821" t="s">
        <v>888</v>
      </c>
      <c r="O528" s="821" t="s">
        <v>886</v>
      </c>
      <c r="P528" s="533">
        <v>408834</v>
      </c>
      <c r="Q528" s="820">
        <v>-4088.34</v>
      </c>
      <c r="R528" t="str">
        <f t="shared" si="12"/>
        <v>201708</v>
      </c>
      <c r="S528" s="405">
        <f>-Q528</f>
        <v>4088.34</v>
      </c>
    </row>
    <row r="529" spans="1:19">
      <c r="A529" s="821" t="s">
        <v>877</v>
      </c>
      <c r="B529" s="821" t="s">
        <v>878</v>
      </c>
      <c r="C529" s="821" t="s">
        <v>879</v>
      </c>
      <c r="D529" s="821" t="s">
        <v>880</v>
      </c>
      <c r="E529" s="821" t="s">
        <v>880</v>
      </c>
      <c r="F529" s="821" t="s">
        <v>881</v>
      </c>
      <c r="G529" s="821" t="s">
        <v>882</v>
      </c>
      <c r="H529" s="821" t="s">
        <v>883</v>
      </c>
      <c r="I529" s="821" t="s">
        <v>1013</v>
      </c>
      <c r="J529" s="821" t="s">
        <v>885</v>
      </c>
      <c r="K529" s="821" t="s">
        <v>886</v>
      </c>
      <c r="L529" s="821" t="s">
        <v>1013</v>
      </c>
      <c r="M529" s="821" t="s">
        <v>1105</v>
      </c>
      <c r="N529" s="821" t="s">
        <v>886</v>
      </c>
      <c r="O529" s="821" t="s">
        <v>886</v>
      </c>
      <c r="P529" s="533">
        <v>785100</v>
      </c>
      <c r="Q529" s="820">
        <v>7851</v>
      </c>
      <c r="R529" t="str">
        <f t="shared" si="12"/>
        <v>201708</v>
      </c>
      <c r="S529" s="405">
        <f>Q529</f>
        <v>7851</v>
      </c>
    </row>
    <row r="530" spans="1:19">
      <c r="A530" s="821" t="s">
        <v>877</v>
      </c>
      <c r="B530" s="821" t="s">
        <v>878</v>
      </c>
      <c r="C530" s="821" t="s">
        <v>879</v>
      </c>
      <c r="D530" s="821" t="s">
        <v>880</v>
      </c>
      <c r="E530" s="821" t="s">
        <v>880</v>
      </c>
      <c r="F530" s="821" t="s">
        <v>881</v>
      </c>
      <c r="G530" s="821" t="s">
        <v>882</v>
      </c>
      <c r="H530" s="821" t="s">
        <v>883</v>
      </c>
      <c r="I530" s="821" t="s">
        <v>1014</v>
      </c>
      <c r="J530" s="821" t="s">
        <v>885</v>
      </c>
      <c r="K530" s="821" t="s">
        <v>886</v>
      </c>
      <c r="L530" s="821" t="s">
        <v>1014</v>
      </c>
      <c r="M530" s="821" t="s">
        <v>1105</v>
      </c>
      <c r="N530" s="821" t="s">
        <v>886</v>
      </c>
      <c r="O530" s="821" t="s">
        <v>886</v>
      </c>
      <c r="P530" s="533">
        <v>235832</v>
      </c>
      <c r="Q530" s="820">
        <v>2358.3200000000002</v>
      </c>
      <c r="R530" t="str">
        <f t="shared" si="12"/>
        <v>201708</v>
      </c>
      <c r="S530" s="405">
        <f>Q530</f>
        <v>2358.3200000000002</v>
      </c>
    </row>
    <row r="531" spans="1:19">
      <c r="A531" s="821" t="s">
        <v>877</v>
      </c>
      <c r="B531" s="821" t="s">
        <v>878</v>
      </c>
      <c r="C531" s="821" t="s">
        <v>879</v>
      </c>
      <c r="D531" s="821" t="s">
        <v>880</v>
      </c>
      <c r="E531" s="821" t="s">
        <v>880</v>
      </c>
      <c r="F531" s="821" t="s">
        <v>881</v>
      </c>
      <c r="G531" s="821" t="s">
        <v>882</v>
      </c>
      <c r="H531" s="821" t="s">
        <v>883</v>
      </c>
      <c r="I531" s="821" t="s">
        <v>1015</v>
      </c>
      <c r="J531" s="821" t="s">
        <v>885</v>
      </c>
      <c r="K531" s="821" t="s">
        <v>886</v>
      </c>
      <c r="L531" s="821" t="s">
        <v>1015</v>
      </c>
      <c r="M531" s="821" t="s">
        <v>1105</v>
      </c>
      <c r="N531" s="821" t="s">
        <v>886</v>
      </c>
      <c r="O531" s="821" t="s">
        <v>886</v>
      </c>
      <c r="P531" s="533">
        <v>25138</v>
      </c>
      <c r="Q531" s="820">
        <v>251.38</v>
      </c>
      <c r="R531" t="str">
        <f t="shared" si="12"/>
        <v>201708</v>
      </c>
      <c r="S531" s="405">
        <f>Q531</f>
        <v>251.38</v>
      </c>
    </row>
    <row r="532" spans="1:19">
      <c r="A532" s="821" t="s">
        <v>877</v>
      </c>
      <c r="B532" s="821" t="s">
        <v>878</v>
      </c>
      <c r="C532" s="821" t="s">
        <v>879</v>
      </c>
      <c r="D532" s="821" t="s">
        <v>880</v>
      </c>
      <c r="E532" s="821" t="s">
        <v>880</v>
      </c>
      <c r="F532" s="821" t="s">
        <v>881</v>
      </c>
      <c r="G532" s="821" t="s">
        <v>882</v>
      </c>
      <c r="H532" s="821" t="s">
        <v>883</v>
      </c>
      <c r="I532" s="821" t="s">
        <v>1015</v>
      </c>
      <c r="J532" s="821" t="s">
        <v>885</v>
      </c>
      <c r="K532" s="821" t="s">
        <v>886</v>
      </c>
      <c r="L532" s="821" t="s">
        <v>1015</v>
      </c>
      <c r="M532" s="821" t="s">
        <v>1105</v>
      </c>
      <c r="N532" s="821" t="s">
        <v>886</v>
      </c>
      <c r="O532" s="821" t="s">
        <v>886</v>
      </c>
      <c r="P532" s="533">
        <v>75000000</v>
      </c>
      <c r="Q532" s="794">
        <v>750000</v>
      </c>
      <c r="R532" t="str">
        <f t="shared" si="12"/>
        <v>201708</v>
      </c>
      <c r="S532" s="405">
        <f>Q532</f>
        <v>750000</v>
      </c>
    </row>
    <row r="533" spans="1:19">
      <c r="A533" s="821" t="s">
        <v>877</v>
      </c>
      <c r="B533" s="821" t="s">
        <v>878</v>
      </c>
      <c r="C533" s="821" t="s">
        <v>879</v>
      </c>
      <c r="D533" s="821" t="s">
        <v>880</v>
      </c>
      <c r="E533" s="821" t="s">
        <v>880</v>
      </c>
      <c r="F533" s="821" t="s">
        <v>881</v>
      </c>
      <c r="G533" s="821" t="s">
        <v>882</v>
      </c>
      <c r="H533" s="821" t="s">
        <v>883</v>
      </c>
      <c r="I533" s="821" t="s">
        <v>1016</v>
      </c>
      <c r="J533" s="821" t="s">
        <v>885</v>
      </c>
      <c r="K533" s="821" t="s">
        <v>886</v>
      </c>
      <c r="L533" s="821" t="s">
        <v>1016</v>
      </c>
      <c r="M533" s="821" t="s">
        <v>1105</v>
      </c>
      <c r="N533" s="821" t="s">
        <v>886</v>
      </c>
      <c r="O533" s="821" t="s">
        <v>886</v>
      </c>
      <c r="P533" s="533">
        <v>116804</v>
      </c>
      <c r="Q533" s="820">
        <v>1168.04</v>
      </c>
      <c r="R533" t="str">
        <f t="shared" si="12"/>
        <v>201708</v>
      </c>
      <c r="S533" s="405">
        <f>Q533</f>
        <v>1168.04</v>
      </c>
    </row>
    <row r="534" spans="1:19">
      <c r="A534" s="821" t="s">
        <v>877</v>
      </c>
      <c r="B534" s="821" t="s">
        <v>878</v>
      </c>
      <c r="C534" s="821" t="s">
        <v>879</v>
      </c>
      <c r="D534" s="821" t="s">
        <v>880</v>
      </c>
      <c r="E534" s="821" t="s">
        <v>880</v>
      </c>
      <c r="F534" s="821" t="s">
        <v>881</v>
      </c>
      <c r="G534" s="821" t="s">
        <v>882</v>
      </c>
      <c r="H534" s="821" t="s">
        <v>883</v>
      </c>
      <c r="I534" s="821" t="s">
        <v>1016</v>
      </c>
      <c r="J534" s="821" t="s">
        <v>885</v>
      </c>
      <c r="K534" s="821" t="s">
        <v>886</v>
      </c>
      <c r="L534" s="821" t="s">
        <v>1016</v>
      </c>
      <c r="M534" s="821" t="s">
        <v>1105</v>
      </c>
      <c r="N534" s="821" t="s">
        <v>888</v>
      </c>
      <c r="O534" s="821" t="s">
        <v>886</v>
      </c>
      <c r="P534" s="533">
        <v>321965</v>
      </c>
      <c r="Q534" s="820">
        <v>-3219.65</v>
      </c>
      <c r="R534" t="str">
        <f t="shared" si="12"/>
        <v>201708</v>
      </c>
      <c r="S534" s="405">
        <f>-Q534</f>
        <v>3219.65</v>
      </c>
    </row>
    <row r="535" spans="1:19">
      <c r="A535" s="821" t="s">
        <v>877</v>
      </c>
      <c r="B535" s="821" t="s">
        <v>878</v>
      </c>
      <c r="C535" s="821" t="s">
        <v>879</v>
      </c>
      <c r="D535" s="821" t="s">
        <v>880</v>
      </c>
      <c r="E535" s="821" t="s">
        <v>880</v>
      </c>
      <c r="F535" s="821" t="s">
        <v>881</v>
      </c>
      <c r="G535" s="821" t="s">
        <v>882</v>
      </c>
      <c r="H535" s="821" t="s">
        <v>883</v>
      </c>
      <c r="I535" s="821" t="s">
        <v>1016</v>
      </c>
      <c r="J535" s="821" t="s">
        <v>885</v>
      </c>
      <c r="K535" s="821" t="s">
        <v>886</v>
      </c>
      <c r="L535" s="821" t="s">
        <v>1016</v>
      </c>
      <c r="M535" s="821" t="s">
        <v>1105</v>
      </c>
      <c r="N535" s="821" t="s">
        <v>888</v>
      </c>
      <c r="O535" s="821" t="s">
        <v>886</v>
      </c>
      <c r="P535" s="533">
        <v>23647652</v>
      </c>
      <c r="Q535" s="794">
        <v>-236476.52</v>
      </c>
      <c r="R535" t="str">
        <f t="shared" si="12"/>
        <v>201708</v>
      </c>
      <c r="S535" s="405">
        <f>-Q535</f>
        <v>236476.52</v>
      </c>
    </row>
    <row r="536" spans="1:19">
      <c r="A536" s="821" t="s">
        <v>877</v>
      </c>
      <c r="B536" s="821" t="s">
        <v>878</v>
      </c>
      <c r="C536" s="821" t="s">
        <v>879</v>
      </c>
      <c r="D536" s="821" t="s">
        <v>880</v>
      </c>
      <c r="E536" s="821" t="s">
        <v>880</v>
      </c>
      <c r="F536" s="821" t="s">
        <v>881</v>
      </c>
      <c r="G536" s="821" t="s">
        <v>882</v>
      </c>
      <c r="H536" s="821" t="s">
        <v>883</v>
      </c>
      <c r="I536" s="821" t="s">
        <v>1017</v>
      </c>
      <c r="J536" s="821" t="s">
        <v>885</v>
      </c>
      <c r="K536" s="821" t="s">
        <v>886</v>
      </c>
      <c r="L536" s="821" t="s">
        <v>1017</v>
      </c>
      <c r="M536" s="821" t="s">
        <v>1105</v>
      </c>
      <c r="N536" s="821" t="s">
        <v>888</v>
      </c>
      <c r="O536" s="821" t="s">
        <v>886</v>
      </c>
      <c r="P536" s="533">
        <v>21244</v>
      </c>
      <c r="Q536" s="820">
        <v>-212.44</v>
      </c>
      <c r="R536" t="str">
        <f t="shared" si="12"/>
        <v>201708</v>
      </c>
      <c r="S536" s="405">
        <f>-Q536</f>
        <v>212.44</v>
      </c>
    </row>
    <row r="537" spans="1:19">
      <c r="A537" s="821" t="s">
        <v>877</v>
      </c>
      <c r="B537" s="821" t="s">
        <v>878</v>
      </c>
      <c r="C537" s="821" t="s">
        <v>879</v>
      </c>
      <c r="D537" s="821" t="s">
        <v>880</v>
      </c>
      <c r="E537" s="821" t="s">
        <v>880</v>
      </c>
      <c r="F537" s="821" t="s">
        <v>881</v>
      </c>
      <c r="G537" s="821" t="s">
        <v>882</v>
      </c>
      <c r="H537" s="821" t="s">
        <v>883</v>
      </c>
      <c r="I537" s="821" t="s">
        <v>1018</v>
      </c>
      <c r="J537" s="821" t="s">
        <v>885</v>
      </c>
      <c r="K537" s="821" t="s">
        <v>886</v>
      </c>
      <c r="L537" s="821" t="s">
        <v>1018</v>
      </c>
      <c r="M537" s="821" t="s">
        <v>1105</v>
      </c>
      <c r="N537" s="821" t="s">
        <v>886</v>
      </c>
      <c r="O537" s="821" t="s">
        <v>886</v>
      </c>
      <c r="P537" s="533">
        <v>156535</v>
      </c>
      <c r="Q537" s="820">
        <v>1565.35</v>
      </c>
      <c r="R537" t="str">
        <f t="shared" si="12"/>
        <v>201708</v>
      </c>
      <c r="S537" s="405">
        <f>Q537</f>
        <v>1565.35</v>
      </c>
    </row>
    <row r="538" spans="1:19">
      <c r="A538" s="821" t="s">
        <v>877</v>
      </c>
      <c r="B538" s="821" t="s">
        <v>878</v>
      </c>
      <c r="C538" s="821" t="s">
        <v>879</v>
      </c>
      <c r="D538" s="821" t="s">
        <v>880</v>
      </c>
      <c r="E538" s="821" t="s">
        <v>880</v>
      </c>
      <c r="F538" s="821" t="s">
        <v>881</v>
      </c>
      <c r="G538" s="821" t="s">
        <v>882</v>
      </c>
      <c r="H538" s="821" t="s">
        <v>883</v>
      </c>
      <c r="I538" s="821" t="s">
        <v>1018</v>
      </c>
      <c r="J538" s="821" t="s">
        <v>885</v>
      </c>
      <c r="K538" s="821" t="s">
        <v>886</v>
      </c>
      <c r="L538" s="821" t="s">
        <v>1018</v>
      </c>
      <c r="M538" s="821" t="s">
        <v>1105</v>
      </c>
      <c r="N538" s="821" t="s">
        <v>888</v>
      </c>
      <c r="O538" s="821" t="s">
        <v>886</v>
      </c>
      <c r="P538" s="533">
        <v>38302000</v>
      </c>
      <c r="Q538" s="823"/>
      <c r="R538" t="str">
        <f t="shared" si="12"/>
        <v>201708</v>
      </c>
      <c r="S538" s="405">
        <f>-Q538</f>
        <v>0</v>
      </c>
    </row>
    <row r="539" spans="1:19">
      <c r="A539" s="821" t="s">
        <v>877</v>
      </c>
      <c r="B539" s="821" t="s">
        <v>878</v>
      </c>
      <c r="C539" s="821" t="s">
        <v>879</v>
      </c>
      <c r="D539" s="821" t="s">
        <v>880</v>
      </c>
      <c r="E539" s="821" t="s">
        <v>880</v>
      </c>
      <c r="F539" s="821" t="s">
        <v>881</v>
      </c>
      <c r="G539" s="821" t="s">
        <v>882</v>
      </c>
      <c r="H539" s="821" t="s">
        <v>883</v>
      </c>
      <c r="I539" s="821" t="s">
        <v>1018</v>
      </c>
      <c r="J539" s="821" t="s">
        <v>885</v>
      </c>
      <c r="K539" s="821" t="s">
        <v>886</v>
      </c>
      <c r="L539" s="821" t="s">
        <v>1018</v>
      </c>
      <c r="M539" s="821" t="s">
        <v>1105</v>
      </c>
      <c r="N539" s="821" t="s">
        <v>888</v>
      </c>
      <c r="O539" s="821" t="s">
        <v>886</v>
      </c>
      <c r="P539" s="533">
        <v>15080501</v>
      </c>
      <c r="Q539" s="823"/>
      <c r="R539" t="str">
        <f t="shared" si="12"/>
        <v>201708</v>
      </c>
      <c r="S539" s="405">
        <f>-Q539</f>
        <v>0</v>
      </c>
    </row>
    <row r="540" spans="1:19">
      <c r="A540" s="821" t="s">
        <v>877</v>
      </c>
      <c r="B540" s="821" t="s">
        <v>878</v>
      </c>
      <c r="C540" s="821" t="s">
        <v>879</v>
      </c>
      <c r="D540" s="821" t="s">
        <v>880</v>
      </c>
      <c r="E540" s="821" t="s">
        <v>880</v>
      </c>
      <c r="F540" s="821" t="s">
        <v>881</v>
      </c>
      <c r="G540" s="821" t="s">
        <v>882</v>
      </c>
      <c r="H540" s="821" t="s">
        <v>883</v>
      </c>
      <c r="I540" s="821" t="s">
        <v>1019</v>
      </c>
      <c r="J540" s="821" t="s">
        <v>885</v>
      </c>
      <c r="K540" s="821" t="s">
        <v>886</v>
      </c>
      <c r="L540" s="821" t="s">
        <v>1019</v>
      </c>
      <c r="M540" s="821" t="s">
        <v>1105</v>
      </c>
      <c r="N540" s="821" t="s">
        <v>886</v>
      </c>
      <c r="O540" s="821" t="s">
        <v>886</v>
      </c>
      <c r="P540" s="533">
        <v>38302000</v>
      </c>
      <c r="Q540" s="823"/>
      <c r="R540" t="str">
        <f t="shared" si="12"/>
        <v>201708</v>
      </c>
      <c r="S540" s="405">
        <f>Q540</f>
        <v>0</v>
      </c>
    </row>
    <row r="541" spans="1:19">
      <c r="A541" s="821" t="s">
        <v>877</v>
      </c>
      <c r="B541" s="821" t="s">
        <v>878</v>
      </c>
      <c r="C541" s="821" t="s">
        <v>879</v>
      </c>
      <c r="D541" s="821" t="s">
        <v>880</v>
      </c>
      <c r="E541" s="821" t="s">
        <v>880</v>
      </c>
      <c r="F541" s="821" t="s">
        <v>881</v>
      </c>
      <c r="G541" s="821" t="s">
        <v>882</v>
      </c>
      <c r="H541" s="821" t="s">
        <v>883</v>
      </c>
      <c r="I541" s="821" t="s">
        <v>1019</v>
      </c>
      <c r="J541" s="821" t="s">
        <v>885</v>
      </c>
      <c r="K541" s="821" t="s">
        <v>886</v>
      </c>
      <c r="L541" s="821" t="s">
        <v>1019</v>
      </c>
      <c r="M541" s="821" t="s">
        <v>1105</v>
      </c>
      <c r="N541" s="821" t="s">
        <v>886</v>
      </c>
      <c r="O541" s="821" t="s">
        <v>886</v>
      </c>
      <c r="P541" s="533">
        <v>15080501</v>
      </c>
      <c r="Q541" s="823"/>
      <c r="R541" t="str">
        <f t="shared" si="12"/>
        <v>201708</v>
      </c>
      <c r="S541" s="405">
        <f>Q541</f>
        <v>0</v>
      </c>
    </row>
    <row r="542" spans="1:19">
      <c r="A542" s="821" t="s">
        <v>877</v>
      </c>
      <c r="B542" s="821" t="s">
        <v>878</v>
      </c>
      <c r="C542" s="821" t="s">
        <v>879</v>
      </c>
      <c r="D542" s="821" t="s">
        <v>880</v>
      </c>
      <c r="E542" s="821" t="s">
        <v>880</v>
      </c>
      <c r="F542" s="821" t="s">
        <v>881</v>
      </c>
      <c r="G542" s="821" t="s">
        <v>882</v>
      </c>
      <c r="H542" s="821" t="s">
        <v>883</v>
      </c>
      <c r="I542" s="821" t="s">
        <v>1019</v>
      </c>
      <c r="J542" s="821" t="s">
        <v>885</v>
      </c>
      <c r="K542" s="821" t="s">
        <v>886</v>
      </c>
      <c r="L542" s="821" t="s">
        <v>1019</v>
      </c>
      <c r="M542" s="821" t="s">
        <v>1105</v>
      </c>
      <c r="N542" s="821" t="s">
        <v>888</v>
      </c>
      <c r="O542" s="821" t="s">
        <v>886</v>
      </c>
      <c r="P542" s="533">
        <v>211228</v>
      </c>
      <c r="Q542" s="820">
        <v>-2112.2800000000002</v>
      </c>
      <c r="R542" t="str">
        <f t="shared" si="12"/>
        <v>201708</v>
      </c>
      <c r="S542" s="405">
        <f>-Q542</f>
        <v>2112.2800000000002</v>
      </c>
    </row>
    <row r="543" spans="1:19">
      <c r="A543" s="821" t="s">
        <v>877</v>
      </c>
      <c r="B543" s="821" t="s">
        <v>878</v>
      </c>
      <c r="C543" s="821" t="s">
        <v>879</v>
      </c>
      <c r="D543" s="821" t="s">
        <v>880</v>
      </c>
      <c r="E543" s="821" t="s">
        <v>880</v>
      </c>
      <c r="F543" s="821" t="s">
        <v>881</v>
      </c>
      <c r="G543" s="821" t="s">
        <v>882</v>
      </c>
      <c r="H543" s="821" t="s">
        <v>883</v>
      </c>
      <c r="I543" s="821" t="s">
        <v>1020</v>
      </c>
      <c r="J543" s="821" t="s">
        <v>885</v>
      </c>
      <c r="K543" s="821" t="s">
        <v>886</v>
      </c>
      <c r="L543" s="821" t="s">
        <v>1020</v>
      </c>
      <c r="M543" s="821" t="s">
        <v>1105</v>
      </c>
      <c r="N543" s="821" t="s">
        <v>888</v>
      </c>
      <c r="O543" s="821" t="s">
        <v>886</v>
      </c>
      <c r="P543" s="533">
        <v>120405</v>
      </c>
      <c r="Q543" s="820">
        <v>-1204.05</v>
      </c>
      <c r="R543" t="str">
        <f t="shared" si="12"/>
        <v>201708</v>
      </c>
      <c r="S543" s="405">
        <f>-Q543</f>
        <v>1204.05</v>
      </c>
    </row>
    <row r="544" spans="1:19">
      <c r="A544" s="821" t="s">
        <v>877</v>
      </c>
      <c r="B544" s="821" t="s">
        <v>878</v>
      </c>
      <c r="C544" s="821" t="s">
        <v>879</v>
      </c>
      <c r="D544" s="821" t="s">
        <v>880</v>
      </c>
      <c r="E544" s="821" t="s">
        <v>880</v>
      </c>
      <c r="F544" s="821" t="s">
        <v>881</v>
      </c>
      <c r="G544" s="821" t="s">
        <v>882</v>
      </c>
      <c r="H544" s="821" t="s">
        <v>883</v>
      </c>
      <c r="I544" s="821" t="s">
        <v>1020</v>
      </c>
      <c r="J544" s="821" t="s">
        <v>885</v>
      </c>
      <c r="K544" s="821" t="s">
        <v>886</v>
      </c>
      <c r="L544" s="821" t="s">
        <v>1020</v>
      </c>
      <c r="M544" s="821" t="s">
        <v>1105</v>
      </c>
      <c r="N544" s="821" t="s">
        <v>888</v>
      </c>
      <c r="O544" s="821" t="s">
        <v>886</v>
      </c>
      <c r="P544" s="533">
        <v>15047183</v>
      </c>
      <c r="Q544" s="794">
        <v>-150471.82999999999</v>
      </c>
      <c r="R544" t="str">
        <f t="shared" si="12"/>
        <v>201708</v>
      </c>
      <c r="S544" s="405">
        <f>-Q544</f>
        <v>150471.82999999999</v>
      </c>
    </row>
    <row r="545" spans="1:19">
      <c r="A545" s="821" t="s">
        <v>877</v>
      </c>
      <c r="B545" s="821" t="s">
        <v>878</v>
      </c>
      <c r="C545" s="821" t="s">
        <v>879</v>
      </c>
      <c r="D545" s="821" t="s">
        <v>880</v>
      </c>
      <c r="E545" s="821" t="s">
        <v>880</v>
      </c>
      <c r="F545" s="821" t="s">
        <v>881</v>
      </c>
      <c r="G545" s="821" t="s">
        <v>882</v>
      </c>
      <c r="H545" s="821" t="s">
        <v>883</v>
      </c>
      <c r="I545" s="821" t="s">
        <v>1021</v>
      </c>
      <c r="J545" s="821" t="s">
        <v>885</v>
      </c>
      <c r="K545" s="821" t="s">
        <v>886</v>
      </c>
      <c r="L545" s="821" t="s">
        <v>1021</v>
      </c>
      <c r="M545" s="821" t="s">
        <v>1105</v>
      </c>
      <c r="N545" s="821" t="s">
        <v>886</v>
      </c>
      <c r="O545" s="821" t="s">
        <v>886</v>
      </c>
      <c r="P545" s="533">
        <v>149497</v>
      </c>
      <c r="Q545" s="820">
        <v>1494.97</v>
      </c>
      <c r="R545" t="str">
        <f t="shared" si="12"/>
        <v>201708</v>
      </c>
      <c r="S545" s="405">
        <f>Q545</f>
        <v>1494.97</v>
      </c>
    </row>
    <row r="546" spans="1:19">
      <c r="A546" s="821" t="s">
        <v>877</v>
      </c>
      <c r="B546" s="821" t="s">
        <v>878</v>
      </c>
      <c r="C546" s="821" t="s">
        <v>879</v>
      </c>
      <c r="D546" s="821" t="s">
        <v>880</v>
      </c>
      <c r="E546" s="821" t="s">
        <v>880</v>
      </c>
      <c r="F546" s="821" t="s">
        <v>881</v>
      </c>
      <c r="G546" s="821" t="s">
        <v>882</v>
      </c>
      <c r="H546" s="821" t="s">
        <v>883</v>
      </c>
      <c r="I546" s="821" t="s">
        <v>1022</v>
      </c>
      <c r="J546" s="821" t="s">
        <v>885</v>
      </c>
      <c r="K546" s="821" t="s">
        <v>886</v>
      </c>
      <c r="L546" s="821" t="s">
        <v>1022</v>
      </c>
      <c r="M546" s="821" t="s">
        <v>1105</v>
      </c>
      <c r="N546" s="821" t="s">
        <v>888</v>
      </c>
      <c r="O546" s="821" t="s">
        <v>886</v>
      </c>
      <c r="P546" s="533">
        <v>58578</v>
      </c>
      <c r="Q546" s="820">
        <v>-585.78</v>
      </c>
      <c r="R546" t="str">
        <f t="shared" si="12"/>
        <v>201708</v>
      </c>
      <c r="S546" s="405">
        <f>-Q546</f>
        <v>585.78</v>
      </c>
    </row>
    <row r="547" spans="1:19">
      <c r="A547" s="821" t="s">
        <v>877</v>
      </c>
      <c r="B547" s="821" t="s">
        <v>878</v>
      </c>
      <c r="C547" s="821" t="s">
        <v>879</v>
      </c>
      <c r="D547" s="821" t="s">
        <v>880</v>
      </c>
      <c r="E547" s="821" t="s">
        <v>880</v>
      </c>
      <c r="F547" s="821" t="s">
        <v>881</v>
      </c>
      <c r="G547" s="821" t="s">
        <v>882</v>
      </c>
      <c r="H547" s="821" t="s">
        <v>883</v>
      </c>
      <c r="I547" s="821" t="s">
        <v>1023</v>
      </c>
      <c r="J547" s="821" t="s">
        <v>885</v>
      </c>
      <c r="K547" s="821" t="s">
        <v>886</v>
      </c>
      <c r="L547" s="821" t="s">
        <v>1023</v>
      </c>
      <c r="M547" s="821" t="s">
        <v>1105</v>
      </c>
      <c r="N547" s="821" t="s">
        <v>888</v>
      </c>
      <c r="O547" s="821" t="s">
        <v>886</v>
      </c>
      <c r="P547" s="533">
        <v>133624</v>
      </c>
      <c r="Q547" s="820">
        <v>-1336.24</v>
      </c>
      <c r="R547" t="str">
        <f t="shared" si="12"/>
        <v>201708</v>
      </c>
      <c r="S547" s="405">
        <f>-Q547</f>
        <v>1336.24</v>
      </c>
    </row>
    <row r="548" spans="1:19">
      <c r="A548" s="821" t="s">
        <v>877</v>
      </c>
      <c r="B548" s="821" t="s">
        <v>878</v>
      </c>
      <c r="C548" s="821" t="s">
        <v>879</v>
      </c>
      <c r="D548" s="821" t="s">
        <v>880</v>
      </c>
      <c r="E548" s="821" t="s">
        <v>880</v>
      </c>
      <c r="F548" s="821" t="s">
        <v>881</v>
      </c>
      <c r="G548" s="821" t="s">
        <v>882</v>
      </c>
      <c r="H548" s="821" t="s">
        <v>883</v>
      </c>
      <c r="I548" s="821" t="s">
        <v>1024</v>
      </c>
      <c r="J548" s="821" t="s">
        <v>885</v>
      </c>
      <c r="K548" s="821" t="s">
        <v>886</v>
      </c>
      <c r="L548" s="821" t="s">
        <v>1024</v>
      </c>
      <c r="M548" s="821" t="s">
        <v>1105</v>
      </c>
      <c r="N548" s="821" t="s">
        <v>886</v>
      </c>
      <c r="O548" s="821" t="s">
        <v>886</v>
      </c>
      <c r="P548" s="533">
        <v>16416</v>
      </c>
      <c r="Q548" s="820">
        <v>164.16</v>
      </c>
      <c r="R548" t="str">
        <f t="shared" si="12"/>
        <v>201708</v>
      </c>
      <c r="S548" s="405">
        <f t="shared" ref="S548:S553" si="13">Q548</f>
        <v>164.16</v>
      </c>
    </row>
    <row r="549" spans="1:19">
      <c r="A549" s="821" t="s">
        <v>877</v>
      </c>
      <c r="B549" s="821" t="s">
        <v>878</v>
      </c>
      <c r="C549" s="821" t="s">
        <v>879</v>
      </c>
      <c r="D549" s="821" t="s">
        <v>880</v>
      </c>
      <c r="E549" s="821" t="s">
        <v>880</v>
      </c>
      <c r="F549" s="821" t="s">
        <v>881</v>
      </c>
      <c r="G549" s="821" t="s">
        <v>882</v>
      </c>
      <c r="H549" s="821" t="s">
        <v>883</v>
      </c>
      <c r="I549" s="821" t="s">
        <v>1025</v>
      </c>
      <c r="J549" s="821" t="s">
        <v>885</v>
      </c>
      <c r="K549" s="821" t="s">
        <v>886</v>
      </c>
      <c r="L549" s="821" t="s">
        <v>1025</v>
      </c>
      <c r="M549" s="821" t="s">
        <v>1105</v>
      </c>
      <c r="N549" s="821" t="s">
        <v>886</v>
      </c>
      <c r="O549" s="821" t="s">
        <v>886</v>
      </c>
      <c r="P549" s="533">
        <v>77691</v>
      </c>
      <c r="Q549" s="820">
        <v>776.91</v>
      </c>
      <c r="R549" t="str">
        <f t="shared" si="12"/>
        <v>201708</v>
      </c>
      <c r="S549" s="405">
        <f t="shared" si="13"/>
        <v>776.91</v>
      </c>
    </row>
    <row r="550" spans="1:19">
      <c r="A550" s="821" t="s">
        <v>877</v>
      </c>
      <c r="B550" s="821" t="s">
        <v>878</v>
      </c>
      <c r="C550" s="821" t="s">
        <v>879</v>
      </c>
      <c r="D550" s="821" t="s">
        <v>880</v>
      </c>
      <c r="E550" s="821" t="s">
        <v>880</v>
      </c>
      <c r="F550" s="821" t="s">
        <v>881</v>
      </c>
      <c r="G550" s="821" t="s">
        <v>882</v>
      </c>
      <c r="H550" s="821" t="s">
        <v>883</v>
      </c>
      <c r="I550" s="821" t="s">
        <v>1025</v>
      </c>
      <c r="J550" s="821" t="s">
        <v>885</v>
      </c>
      <c r="K550" s="821" t="s">
        <v>886</v>
      </c>
      <c r="L550" s="821" t="s">
        <v>1025</v>
      </c>
      <c r="M550" s="821" t="s">
        <v>1105</v>
      </c>
      <c r="N550" s="821" t="s">
        <v>886</v>
      </c>
      <c r="O550" s="821" t="s">
        <v>886</v>
      </c>
      <c r="P550" s="533">
        <v>20000000</v>
      </c>
      <c r="Q550" s="794">
        <v>200000</v>
      </c>
      <c r="R550" t="str">
        <f t="shared" si="12"/>
        <v>201708</v>
      </c>
      <c r="S550" s="405">
        <f t="shared" si="13"/>
        <v>200000</v>
      </c>
    </row>
    <row r="551" spans="1:19">
      <c r="A551" s="821" t="s">
        <v>877</v>
      </c>
      <c r="B551" s="821" t="s">
        <v>878</v>
      </c>
      <c r="C551" s="821" t="s">
        <v>879</v>
      </c>
      <c r="D551" s="821" t="s">
        <v>880</v>
      </c>
      <c r="E551" s="821" t="s">
        <v>880</v>
      </c>
      <c r="F551" s="821" t="s">
        <v>881</v>
      </c>
      <c r="G551" s="821" t="s">
        <v>882</v>
      </c>
      <c r="H551" s="821" t="s">
        <v>883</v>
      </c>
      <c r="I551" s="821" t="s">
        <v>1026</v>
      </c>
      <c r="J551" s="821" t="s">
        <v>885</v>
      </c>
      <c r="K551" s="821" t="s">
        <v>886</v>
      </c>
      <c r="L551" s="821" t="s">
        <v>1026</v>
      </c>
      <c r="M551" s="821" t="s">
        <v>1105</v>
      </c>
      <c r="N551" s="821" t="s">
        <v>886</v>
      </c>
      <c r="O551" s="821" t="s">
        <v>886</v>
      </c>
      <c r="P551" s="533">
        <v>184527</v>
      </c>
      <c r="Q551" s="820">
        <v>1845.27</v>
      </c>
      <c r="R551" t="str">
        <f t="shared" si="12"/>
        <v>201708</v>
      </c>
      <c r="S551" s="405">
        <f t="shared" si="13"/>
        <v>1845.27</v>
      </c>
    </row>
    <row r="552" spans="1:19">
      <c r="A552" s="821" t="s">
        <v>877</v>
      </c>
      <c r="B552" s="821" t="s">
        <v>878</v>
      </c>
      <c r="C552" s="821" t="s">
        <v>879</v>
      </c>
      <c r="D552" s="821" t="s">
        <v>880</v>
      </c>
      <c r="E552" s="821" t="s">
        <v>880</v>
      </c>
      <c r="F552" s="821" t="s">
        <v>881</v>
      </c>
      <c r="G552" s="821" t="s">
        <v>882</v>
      </c>
      <c r="H552" s="821" t="s">
        <v>883</v>
      </c>
      <c r="I552" s="821" t="s">
        <v>1026</v>
      </c>
      <c r="J552" s="821" t="s">
        <v>885</v>
      </c>
      <c r="K552" s="821" t="s">
        <v>886</v>
      </c>
      <c r="L552" s="821" t="s">
        <v>1026</v>
      </c>
      <c r="M552" s="821" t="s">
        <v>1105</v>
      </c>
      <c r="N552" s="821" t="s">
        <v>886</v>
      </c>
      <c r="O552" s="821" t="s">
        <v>886</v>
      </c>
      <c r="P552" s="533">
        <v>15000000</v>
      </c>
      <c r="Q552" s="794">
        <v>150000</v>
      </c>
      <c r="R552" t="str">
        <f t="shared" si="12"/>
        <v>201708</v>
      </c>
      <c r="S552" s="405">
        <f t="shared" si="13"/>
        <v>150000</v>
      </c>
    </row>
    <row r="553" spans="1:19">
      <c r="A553" s="821" t="s">
        <v>877</v>
      </c>
      <c r="B553" s="821" t="s">
        <v>878</v>
      </c>
      <c r="C553" s="821" t="s">
        <v>879</v>
      </c>
      <c r="D553" s="821" t="s">
        <v>880</v>
      </c>
      <c r="E553" s="821" t="s">
        <v>880</v>
      </c>
      <c r="F553" s="821" t="s">
        <v>881</v>
      </c>
      <c r="G553" s="821" t="s">
        <v>882</v>
      </c>
      <c r="H553" s="821" t="s">
        <v>883</v>
      </c>
      <c r="I553" s="821" t="s">
        <v>1027</v>
      </c>
      <c r="J553" s="821" t="s">
        <v>885</v>
      </c>
      <c r="K553" s="821" t="s">
        <v>886</v>
      </c>
      <c r="L553" s="821" t="s">
        <v>1027</v>
      </c>
      <c r="M553" s="821" t="s">
        <v>1105</v>
      </c>
      <c r="N553" s="821" t="s">
        <v>886</v>
      </c>
      <c r="O553" s="821" t="s">
        <v>886</v>
      </c>
      <c r="P553" s="533">
        <v>407920</v>
      </c>
      <c r="Q553" s="820">
        <v>4079.2</v>
      </c>
      <c r="R553" t="str">
        <f t="shared" si="12"/>
        <v>201708</v>
      </c>
      <c r="S553" s="405">
        <f t="shared" si="13"/>
        <v>4079.2</v>
      </c>
    </row>
    <row r="554" spans="1:19">
      <c r="A554" s="821" t="s">
        <v>877</v>
      </c>
      <c r="B554" s="821" t="s">
        <v>878</v>
      </c>
      <c r="C554" s="821" t="s">
        <v>879</v>
      </c>
      <c r="D554" s="821" t="s">
        <v>880</v>
      </c>
      <c r="E554" s="821" t="s">
        <v>880</v>
      </c>
      <c r="F554" s="821" t="s">
        <v>881</v>
      </c>
      <c r="G554" s="821" t="s">
        <v>882</v>
      </c>
      <c r="H554" s="821" t="s">
        <v>883</v>
      </c>
      <c r="I554" s="821" t="s">
        <v>1028</v>
      </c>
      <c r="J554" s="821" t="s">
        <v>885</v>
      </c>
      <c r="K554" s="821" t="s">
        <v>886</v>
      </c>
      <c r="L554" s="821" t="s">
        <v>1028</v>
      </c>
      <c r="M554" s="821" t="s">
        <v>1105</v>
      </c>
      <c r="N554" s="821" t="s">
        <v>888</v>
      </c>
      <c r="O554" s="821" t="s">
        <v>886</v>
      </c>
      <c r="P554" s="533">
        <v>327572</v>
      </c>
      <c r="Q554" s="820">
        <v>-3275.72</v>
      </c>
      <c r="R554" t="str">
        <f t="shared" si="12"/>
        <v>201708</v>
      </c>
      <c r="S554" s="405">
        <f>-Q554</f>
        <v>3275.72</v>
      </c>
    </row>
    <row r="555" spans="1:19">
      <c r="A555" s="821" t="s">
        <v>877</v>
      </c>
      <c r="B555" s="821" t="s">
        <v>878</v>
      </c>
      <c r="C555" s="821" t="s">
        <v>879</v>
      </c>
      <c r="D555" s="821" t="s">
        <v>880</v>
      </c>
      <c r="E555" s="821" t="s">
        <v>880</v>
      </c>
      <c r="F555" s="821" t="s">
        <v>881</v>
      </c>
      <c r="G555" s="821" t="s">
        <v>882</v>
      </c>
      <c r="H555" s="821" t="s">
        <v>883</v>
      </c>
      <c r="I555" s="821" t="s">
        <v>1029</v>
      </c>
      <c r="J555" s="821" t="s">
        <v>885</v>
      </c>
      <c r="K555" s="821" t="s">
        <v>886</v>
      </c>
      <c r="L555" s="821" t="s">
        <v>1029</v>
      </c>
      <c r="M555" s="821" t="s">
        <v>1105</v>
      </c>
      <c r="N555" s="821" t="s">
        <v>886</v>
      </c>
      <c r="O555" s="821" t="s">
        <v>886</v>
      </c>
      <c r="P555" s="533">
        <v>776429</v>
      </c>
      <c r="Q555" s="820">
        <v>7764.29</v>
      </c>
      <c r="R555" t="str">
        <f t="shared" si="12"/>
        <v>201708</v>
      </c>
      <c r="S555" s="405">
        <f>Q555</f>
        <v>7764.29</v>
      </c>
    </row>
    <row r="556" spans="1:19">
      <c r="A556" s="821" t="s">
        <v>877</v>
      </c>
      <c r="B556" s="821" t="s">
        <v>878</v>
      </c>
      <c r="C556" s="821" t="s">
        <v>879</v>
      </c>
      <c r="D556" s="821" t="s">
        <v>880</v>
      </c>
      <c r="E556" s="821" t="s">
        <v>880</v>
      </c>
      <c r="F556" s="821" t="s">
        <v>881</v>
      </c>
      <c r="G556" s="821" t="s">
        <v>882</v>
      </c>
      <c r="H556" s="821" t="s">
        <v>883</v>
      </c>
      <c r="I556" s="821" t="s">
        <v>1030</v>
      </c>
      <c r="J556" s="821" t="s">
        <v>885</v>
      </c>
      <c r="K556" s="821" t="s">
        <v>886</v>
      </c>
      <c r="L556" s="821" t="s">
        <v>1030</v>
      </c>
      <c r="M556" s="821" t="s">
        <v>1105</v>
      </c>
      <c r="N556" s="821" t="s">
        <v>888</v>
      </c>
      <c r="O556" s="821" t="s">
        <v>886</v>
      </c>
      <c r="P556" s="533">
        <v>196252</v>
      </c>
      <c r="Q556" s="820">
        <v>-1962.52</v>
      </c>
      <c r="R556" t="str">
        <f t="shared" si="12"/>
        <v>201708</v>
      </c>
      <c r="S556" s="405">
        <f>-Q556</f>
        <v>1962.52</v>
      </c>
    </row>
    <row r="557" spans="1:19">
      <c r="A557" s="821" t="s">
        <v>877</v>
      </c>
      <c r="B557" s="821" t="s">
        <v>878</v>
      </c>
      <c r="C557" s="821" t="s">
        <v>879</v>
      </c>
      <c r="D557" s="821" t="s">
        <v>880</v>
      </c>
      <c r="E557" s="821" t="s">
        <v>880</v>
      </c>
      <c r="F557" s="821" t="s">
        <v>881</v>
      </c>
      <c r="G557" s="821" t="s">
        <v>882</v>
      </c>
      <c r="H557" s="821" t="s">
        <v>883</v>
      </c>
      <c r="I557" s="821" t="s">
        <v>1030</v>
      </c>
      <c r="J557" s="821" t="s">
        <v>885</v>
      </c>
      <c r="K557" s="821" t="s">
        <v>886</v>
      </c>
      <c r="L557" s="821" t="s">
        <v>1030</v>
      </c>
      <c r="M557" s="821" t="s">
        <v>1105</v>
      </c>
      <c r="N557" s="821" t="s">
        <v>888</v>
      </c>
      <c r="O557" s="821" t="s">
        <v>886</v>
      </c>
      <c r="P557" s="533">
        <v>35182654</v>
      </c>
      <c r="Q557" s="794">
        <v>-351826.54</v>
      </c>
      <c r="R557" t="str">
        <f t="shared" si="12"/>
        <v>201708</v>
      </c>
      <c r="S557" s="405">
        <f>-Q557</f>
        <v>351826.54</v>
      </c>
    </row>
    <row r="558" spans="1:19">
      <c r="A558" s="821" t="s">
        <v>877</v>
      </c>
      <c r="B558" s="821" t="s">
        <v>878</v>
      </c>
      <c r="C558" s="821" t="s">
        <v>879</v>
      </c>
      <c r="D558" s="821" t="s">
        <v>880</v>
      </c>
      <c r="E558" s="821" t="s">
        <v>880</v>
      </c>
      <c r="F558" s="821" t="s">
        <v>881</v>
      </c>
      <c r="G558" s="821" t="s">
        <v>882</v>
      </c>
      <c r="H558" s="821" t="s">
        <v>883</v>
      </c>
      <c r="I558" s="821" t="s">
        <v>1031</v>
      </c>
      <c r="J558" s="821" t="s">
        <v>885</v>
      </c>
      <c r="K558" s="821" t="s">
        <v>886</v>
      </c>
      <c r="L558" s="821" t="s">
        <v>1031</v>
      </c>
      <c r="M558" s="821" t="s">
        <v>1105</v>
      </c>
      <c r="N558" s="821" t="s">
        <v>886</v>
      </c>
      <c r="O558" s="821" t="s">
        <v>886</v>
      </c>
      <c r="P558" s="533">
        <v>237993</v>
      </c>
      <c r="Q558" s="820">
        <v>2379.9299999999998</v>
      </c>
      <c r="R558" t="str">
        <f t="shared" si="12"/>
        <v>201708</v>
      </c>
      <c r="S558" s="405">
        <f>Q558</f>
        <v>2379.9299999999998</v>
      </c>
    </row>
    <row r="559" spans="1:19">
      <c r="A559" s="821" t="s">
        <v>877</v>
      </c>
      <c r="B559" s="821" t="s">
        <v>878</v>
      </c>
      <c r="C559" s="821" t="s">
        <v>879</v>
      </c>
      <c r="D559" s="821" t="s">
        <v>880</v>
      </c>
      <c r="E559" s="821" t="s">
        <v>880</v>
      </c>
      <c r="F559" s="821" t="s">
        <v>881</v>
      </c>
      <c r="G559" s="821" t="s">
        <v>882</v>
      </c>
      <c r="H559" s="821" t="s">
        <v>883</v>
      </c>
      <c r="I559" s="821" t="s">
        <v>1031</v>
      </c>
      <c r="J559" s="821" t="s">
        <v>885</v>
      </c>
      <c r="K559" s="821" t="s">
        <v>886</v>
      </c>
      <c r="L559" s="821" t="s">
        <v>1031</v>
      </c>
      <c r="M559" s="821" t="s">
        <v>1105</v>
      </c>
      <c r="N559" s="821" t="s">
        <v>886</v>
      </c>
      <c r="O559" s="821" t="s">
        <v>886</v>
      </c>
      <c r="P559" s="533">
        <v>15000000</v>
      </c>
      <c r="Q559" s="794">
        <v>150000</v>
      </c>
      <c r="R559" t="str">
        <f t="shared" si="12"/>
        <v>201708</v>
      </c>
      <c r="S559" s="405">
        <f>Q559</f>
        <v>150000</v>
      </c>
    </row>
    <row r="560" spans="1:19">
      <c r="A560" s="821" t="s">
        <v>877</v>
      </c>
      <c r="B560" s="821" t="s">
        <v>878</v>
      </c>
      <c r="C560" s="821" t="s">
        <v>879</v>
      </c>
      <c r="D560" s="821" t="s">
        <v>880</v>
      </c>
      <c r="E560" s="821" t="s">
        <v>880</v>
      </c>
      <c r="F560" s="821" t="s">
        <v>881</v>
      </c>
      <c r="G560" s="821" t="s">
        <v>882</v>
      </c>
      <c r="H560" s="821" t="s">
        <v>883</v>
      </c>
      <c r="I560" s="821" t="s">
        <v>1031</v>
      </c>
      <c r="J560" s="821" t="s">
        <v>885</v>
      </c>
      <c r="K560" s="821" t="s">
        <v>886</v>
      </c>
      <c r="L560" s="821" t="s">
        <v>1031</v>
      </c>
      <c r="M560" s="821" t="s">
        <v>1105</v>
      </c>
      <c r="N560" s="821" t="s">
        <v>888</v>
      </c>
      <c r="O560" s="821" t="s">
        <v>886</v>
      </c>
      <c r="P560" s="533">
        <v>60380</v>
      </c>
      <c r="Q560" s="820">
        <v>-603.79999999999995</v>
      </c>
      <c r="R560" t="str">
        <f t="shared" si="12"/>
        <v>201708</v>
      </c>
      <c r="S560" s="405">
        <f>-Q560</f>
        <v>603.79999999999995</v>
      </c>
    </row>
    <row r="561" spans="1:19">
      <c r="A561" s="821" t="s">
        <v>877</v>
      </c>
      <c r="B561" s="821" t="s">
        <v>878</v>
      </c>
      <c r="C561" s="821" t="s">
        <v>879</v>
      </c>
      <c r="D561" s="821" t="s">
        <v>880</v>
      </c>
      <c r="E561" s="821" t="s">
        <v>880</v>
      </c>
      <c r="F561" s="821" t="s">
        <v>881</v>
      </c>
      <c r="G561" s="821" t="s">
        <v>882</v>
      </c>
      <c r="H561" s="821" t="s">
        <v>1032</v>
      </c>
      <c r="I561" s="821" t="s">
        <v>1033</v>
      </c>
      <c r="J561" s="821" t="s">
        <v>885</v>
      </c>
      <c r="K561" s="821" t="s">
        <v>886</v>
      </c>
      <c r="L561" s="821" t="s">
        <v>1033</v>
      </c>
      <c r="M561" s="821" t="s">
        <v>1105</v>
      </c>
      <c r="N561" s="821" t="s">
        <v>888</v>
      </c>
      <c r="O561" s="821" t="s">
        <v>886</v>
      </c>
      <c r="P561" s="533">
        <v>437952</v>
      </c>
      <c r="Q561" s="820">
        <v>-4379.5200000000004</v>
      </c>
      <c r="R561" t="str">
        <f t="shared" si="12"/>
        <v>201709</v>
      </c>
      <c r="S561" s="405">
        <f>-Q561</f>
        <v>4379.5200000000004</v>
      </c>
    </row>
    <row r="562" spans="1:19">
      <c r="A562" s="821" t="s">
        <v>877</v>
      </c>
      <c r="B562" s="821" t="s">
        <v>878</v>
      </c>
      <c r="C562" s="821" t="s">
        <v>879</v>
      </c>
      <c r="D562" s="821" t="s">
        <v>880</v>
      </c>
      <c r="E562" s="821" t="s">
        <v>880</v>
      </c>
      <c r="F562" s="821" t="s">
        <v>881</v>
      </c>
      <c r="G562" s="821" t="s">
        <v>882</v>
      </c>
      <c r="H562" s="821" t="s">
        <v>1032</v>
      </c>
      <c r="I562" s="821" t="s">
        <v>1034</v>
      </c>
      <c r="J562" s="821" t="s">
        <v>885</v>
      </c>
      <c r="K562" s="821" t="s">
        <v>886</v>
      </c>
      <c r="L562" s="821" t="s">
        <v>1034</v>
      </c>
      <c r="M562" s="821" t="s">
        <v>1105</v>
      </c>
      <c r="N562" s="821" t="s">
        <v>888</v>
      </c>
      <c r="O562" s="821" t="s">
        <v>886</v>
      </c>
      <c r="P562" s="533">
        <v>241758</v>
      </c>
      <c r="Q562" s="820">
        <v>-2417.58</v>
      </c>
      <c r="R562" t="str">
        <f t="shared" si="12"/>
        <v>201709</v>
      </c>
      <c r="S562" s="405">
        <f>-Q562</f>
        <v>2417.58</v>
      </c>
    </row>
    <row r="563" spans="1:19">
      <c r="A563" s="821" t="s">
        <v>877</v>
      </c>
      <c r="B563" s="821" t="s">
        <v>878</v>
      </c>
      <c r="C563" s="821" t="s">
        <v>879</v>
      </c>
      <c r="D563" s="821" t="s">
        <v>880</v>
      </c>
      <c r="E563" s="821" t="s">
        <v>880</v>
      </c>
      <c r="F563" s="821" t="s">
        <v>881</v>
      </c>
      <c r="G563" s="821" t="s">
        <v>882</v>
      </c>
      <c r="H563" s="821" t="s">
        <v>1032</v>
      </c>
      <c r="I563" s="821" t="s">
        <v>1035</v>
      </c>
      <c r="J563" s="821" t="s">
        <v>885</v>
      </c>
      <c r="K563" s="821" t="s">
        <v>886</v>
      </c>
      <c r="L563" s="821" t="s">
        <v>1035</v>
      </c>
      <c r="M563" s="821" t="s">
        <v>1105</v>
      </c>
      <c r="N563" s="821" t="s">
        <v>886</v>
      </c>
      <c r="O563" s="821" t="s">
        <v>886</v>
      </c>
      <c r="P563" s="533">
        <v>16135</v>
      </c>
      <c r="Q563" s="820">
        <v>161.35</v>
      </c>
      <c r="R563" t="str">
        <f t="shared" si="12"/>
        <v>201709</v>
      </c>
      <c r="S563" s="405">
        <f>Q563</f>
        <v>161.35</v>
      </c>
    </row>
    <row r="564" spans="1:19">
      <c r="A564" s="821" t="s">
        <v>877</v>
      </c>
      <c r="B564" s="821" t="s">
        <v>878</v>
      </c>
      <c r="C564" s="821" t="s">
        <v>879</v>
      </c>
      <c r="D564" s="821" t="s">
        <v>880</v>
      </c>
      <c r="E564" s="821" t="s">
        <v>880</v>
      </c>
      <c r="F564" s="821" t="s">
        <v>881</v>
      </c>
      <c r="G564" s="821" t="s">
        <v>882</v>
      </c>
      <c r="H564" s="821" t="s">
        <v>1032</v>
      </c>
      <c r="I564" s="821" t="s">
        <v>1036</v>
      </c>
      <c r="J564" s="821" t="s">
        <v>885</v>
      </c>
      <c r="K564" s="821" t="s">
        <v>886</v>
      </c>
      <c r="L564" s="821" t="s">
        <v>1036</v>
      </c>
      <c r="M564" s="821" t="s">
        <v>1105</v>
      </c>
      <c r="N564" s="821" t="s">
        <v>886</v>
      </c>
      <c r="O564" s="821" t="s">
        <v>886</v>
      </c>
      <c r="P564" s="533">
        <v>606404</v>
      </c>
      <c r="Q564" s="820">
        <v>6064.04</v>
      </c>
      <c r="R564" t="str">
        <f t="shared" si="12"/>
        <v>201709</v>
      </c>
      <c r="S564" s="405">
        <f>Q564</f>
        <v>6064.04</v>
      </c>
    </row>
    <row r="565" spans="1:19">
      <c r="A565" s="821" t="s">
        <v>877</v>
      </c>
      <c r="B565" s="821" t="s">
        <v>878</v>
      </c>
      <c r="C565" s="821" t="s">
        <v>879</v>
      </c>
      <c r="D565" s="821" t="s">
        <v>880</v>
      </c>
      <c r="E565" s="821" t="s">
        <v>880</v>
      </c>
      <c r="F565" s="821" t="s">
        <v>881</v>
      </c>
      <c r="G565" s="821" t="s">
        <v>882</v>
      </c>
      <c r="H565" s="821" t="s">
        <v>1032</v>
      </c>
      <c r="I565" s="821" t="s">
        <v>1037</v>
      </c>
      <c r="J565" s="821" t="s">
        <v>885</v>
      </c>
      <c r="K565" s="821" t="s">
        <v>886</v>
      </c>
      <c r="L565" s="821" t="s">
        <v>1037</v>
      </c>
      <c r="M565" s="821" t="s">
        <v>1105</v>
      </c>
      <c r="N565" s="821" t="s">
        <v>888</v>
      </c>
      <c r="O565" s="821" t="s">
        <v>886</v>
      </c>
      <c r="P565" s="533">
        <v>104304</v>
      </c>
      <c r="Q565" s="820">
        <v>-1043.04</v>
      </c>
      <c r="R565" t="str">
        <f t="shared" si="12"/>
        <v>201709</v>
      </c>
      <c r="S565" s="405">
        <f>-Q565</f>
        <v>1043.04</v>
      </c>
    </row>
    <row r="566" spans="1:19">
      <c r="A566" s="821" t="s">
        <v>877</v>
      </c>
      <c r="B566" s="821" t="s">
        <v>878</v>
      </c>
      <c r="C566" s="821" t="s">
        <v>879</v>
      </c>
      <c r="D566" s="821" t="s">
        <v>880</v>
      </c>
      <c r="E566" s="821" t="s">
        <v>880</v>
      </c>
      <c r="F566" s="821" t="s">
        <v>881</v>
      </c>
      <c r="G566" s="821" t="s">
        <v>882</v>
      </c>
      <c r="H566" s="821" t="s">
        <v>1032</v>
      </c>
      <c r="I566" s="821" t="s">
        <v>1037</v>
      </c>
      <c r="J566" s="821" t="s">
        <v>885</v>
      </c>
      <c r="K566" s="821" t="s">
        <v>886</v>
      </c>
      <c r="L566" s="821" t="s">
        <v>1037</v>
      </c>
      <c r="M566" s="821" t="s">
        <v>1105</v>
      </c>
      <c r="N566" s="821" t="s">
        <v>886</v>
      </c>
      <c r="O566" s="821" t="s">
        <v>886</v>
      </c>
      <c r="P566" s="533">
        <v>35000000</v>
      </c>
      <c r="Q566" s="794">
        <v>350000</v>
      </c>
      <c r="R566" t="str">
        <f t="shared" si="12"/>
        <v>201709</v>
      </c>
      <c r="S566" s="405">
        <f>Q566</f>
        <v>350000</v>
      </c>
    </row>
    <row r="567" spans="1:19">
      <c r="A567" s="821" t="s">
        <v>877</v>
      </c>
      <c r="B567" s="821" t="s">
        <v>878</v>
      </c>
      <c r="C567" s="821" t="s">
        <v>879</v>
      </c>
      <c r="D567" s="821" t="s">
        <v>880</v>
      </c>
      <c r="E567" s="821" t="s">
        <v>880</v>
      </c>
      <c r="F567" s="821" t="s">
        <v>881</v>
      </c>
      <c r="G567" s="821" t="s">
        <v>882</v>
      </c>
      <c r="H567" s="821" t="s">
        <v>1032</v>
      </c>
      <c r="I567" s="821" t="s">
        <v>1038</v>
      </c>
      <c r="J567" s="821" t="s">
        <v>885</v>
      </c>
      <c r="K567" s="821" t="s">
        <v>886</v>
      </c>
      <c r="L567" s="821" t="s">
        <v>1038</v>
      </c>
      <c r="M567" s="821" t="s">
        <v>1105</v>
      </c>
      <c r="N567" s="821" t="s">
        <v>886</v>
      </c>
      <c r="O567" s="821" t="s">
        <v>886</v>
      </c>
      <c r="P567" s="533">
        <v>130556</v>
      </c>
      <c r="Q567" s="820">
        <v>1305.56</v>
      </c>
      <c r="R567" t="str">
        <f t="shared" si="12"/>
        <v>201709</v>
      </c>
      <c r="S567" s="405">
        <f>Q567</f>
        <v>1305.56</v>
      </c>
    </row>
    <row r="568" spans="1:19">
      <c r="A568" s="821" t="s">
        <v>877</v>
      </c>
      <c r="B568" s="821" t="s">
        <v>878</v>
      </c>
      <c r="C568" s="821" t="s">
        <v>879</v>
      </c>
      <c r="D568" s="821" t="s">
        <v>880</v>
      </c>
      <c r="E568" s="821" t="s">
        <v>880</v>
      </c>
      <c r="F568" s="821" t="s">
        <v>881</v>
      </c>
      <c r="G568" s="821" t="s">
        <v>882</v>
      </c>
      <c r="H568" s="821" t="s">
        <v>1032</v>
      </c>
      <c r="I568" s="821" t="s">
        <v>1038</v>
      </c>
      <c r="J568" s="821" t="s">
        <v>885</v>
      </c>
      <c r="K568" s="821" t="s">
        <v>886</v>
      </c>
      <c r="L568" s="821" t="s">
        <v>1038</v>
      </c>
      <c r="M568" s="821" t="s">
        <v>1105</v>
      </c>
      <c r="N568" s="821" t="s">
        <v>886</v>
      </c>
      <c r="O568" s="821" t="s">
        <v>886</v>
      </c>
      <c r="P568" s="533">
        <v>35000000</v>
      </c>
      <c r="Q568" s="794">
        <v>350000</v>
      </c>
      <c r="R568" t="str">
        <f t="shared" si="12"/>
        <v>201709</v>
      </c>
      <c r="S568" s="405">
        <f>Q568</f>
        <v>350000</v>
      </c>
    </row>
    <row r="569" spans="1:19">
      <c r="A569" s="821" t="s">
        <v>877</v>
      </c>
      <c r="B569" s="821" t="s">
        <v>878</v>
      </c>
      <c r="C569" s="821" t="s">
        <v>879</v>
      </c>
      <c r="D569" s="821" t="s">
        <v>880</v>
      </c>
      <c r="E569" s="821" t="s">
        <v>880</v>
      </c>
      <c r="F569" s="821" t="s">
        <v>881</v>
      </c>
      <c r="G569" s="821" t="s">
        <v>882</v>
      </c>
      <c r="H569" s="821" t="s">
        <v>1032</v>
      </c>
      <c r="I569" s="821" t="s">
        <v>1039</v>
      </c>
      <c r="J569" s="821" t="s">
        <v>885</v>
      </c>
      <c r="K569" s="821" t="s">
        <v>886</v>
      </c>
      <c r="L569" s="821" t="s">
        <v>1039</v>
      </c>
      <c r="M569" s="821" t="s">
        <v>1105</v>
      </c>
      <c r="N569" s="821" t="s">
        <v>888</v>
      </c>
      <c r="O569" s="821" t="s">
        <v>886</v>
      </c>
      <c r="P569" s="533">
        <v>899392</v>
      </c>
      <c r="Q569" s="820">
        <v>-8993.92</v>
      </c>
      <c r="R569" t="str">
        <f t="shared" si="12"/>
        <v>201709</v>
      </c>
      <c r="S569" s="405">
        <f>-Q569</f>
        <v>8993.92</v>
      </c>
    </row>
    <row r="570" spans="1:19">
      <c r="A570" s="821" t="s">
        <v>877</v>
      </c>
      <c r="B570" s="821" t="s">
        <v>878</v>
      </c>
      <c r="C570" s="821" t="s">
        <v>879</v>
      </c>
      <c r="D570" s="821" t="s">
        <v>880</v>
      </c>
      <c r="E570" s="821" t="s">
        <v>880</v>
      </c>
      <c r="F570" s="821" t="s">
        <v>881</v>
      </c>
      <c r="G570" s="821" t="s">
        <v>882</v>
      </c>
      <c r="H570" s="821" t="s">
        <v>1032</v>
      </c>
      <c r="I570" s="821" t="s">
        <v>1040</v>
      </c>
      <c r="J570" s="821" t="s">
        <v>885</v>
      </c>
      <c r="K570" s="821" t="s">
        <v>886</v>
      </c>
      <c r="L570" s="821" t="s">
        <v>1040</v>
      </c>
      <c r="M570" s="821" t="s">
        <v>1105</v>
      </c>
      <c r="N570" s="821" t="s">
        <v>886</v>
      </c>
      <c r="O570" s="821" t="s">
        <v>886</v>
      </c>
      <c r="P570" s="533">
        <v>590974</v>
      </c>
      <c r="Q570" s="820">
        <v>5909.74</v>
      </c>
      <c r="R570" t="str">
        <f t="shared" si="12"/>
        <v>201709</v>
      </c>
      <c r="S570" s="405">
        <f>Q570</f>
        <v>5909.74</v>
      </c>
    </row>
    <row r="571" spans="1:19">
      <c r="A571" s="821" t="s">
        <v>877</v>
      </c>
      <c r="B571" s="821" t="s">
        <v>878</v>
      </c>
      <c r="C571" s="821" t="s">
        <v>879</v>
      </c>
      <c r="D571" s="821" t="s">
        <v>880</v>
      </c>
      <c r="E571" s="821" t="s">
        <v>880</v>
      </c>
      <c r="F571" s="821" t="s">
        <v>881</v>
      </c>
      <c r="G571" s="821" t="s">
        <v>882</v>
      </c>
      <c r="H571" s="821" t="s">
        <v>1032</v>
      </c>
      <c r="I571" s="821" t="s">
        <v>1040</v>
      </c>
      <c r="J571" s="821" t="s">
        <v>885</v>
      </c>
      <c r="K571" s="821" t="s">
        <v>886</v>
      </c>
      <c r="L571" s="821" t="s">
        <v>1040</v>
      </c>
      <c r="M571" s="821" t="s">
        <v>1105</v>
      </c>
      <c r="N571" s="821" t="s">
        <v>886</v>
      </c>
      <c r="O571" s="821" t="s">
        <v>886</v>
      </c>
      <c r="P571" s="533">
        <v>17800000</v>
      </c>
      <c r="Q571" s="794">
        <v>178000</v>
      </c>
      <c r="R571" t="str">
        <f t="shared" si="12"/>
        <v>201709</v>
      </c>
      <c r="S571" s="405">
        <f>Q571</f>
        <v>178000</v>
      </c>
    </row>
    <row r="572" spans="1:19">
      <c r="A572" s="821" t="s">
        <v>877</v>
      </c>
      <c r="B572" s="821" t="s">
        <v>878</v>
      </c>
      <c r="C572" s="821" t="s">
        <v>879</v>
      </c>
      <c r="D572" s="821" t="s">
        <v>880</v>
      </c>
      <c r="E572" s="821" t="s">
        <v>880</v>
      </c>
      <c r="F572" s="821" t="s">
        <v>881</v>
      </c>
      <c r="G572" s="821" t="s">
        <v>882</v>
      </c>
      <c r="H572" s="821" t="s">
        <v>1032</v>
      </c>
      <c r="I572" s="821" t="s">
        <v>1040</v>
      </c>
      <c r="J572" s="821" t="s">
        <v>885</v>
      </c>
      <c r="K572" s="821" t="s">
        <v>886</v>
      </c>
      <c r="L572" s="821" t="s">
        <v>1040</v>
      </c>
      <c r="M572" s="821" t="s">
        <v>1105</v>
      </c>
      <c r="N572" s="821" t="s">
        <v>888</v>
      </c>
      <c r="O572" s="821" t="s">
        <v>886</v>
      </c>
      <c r="P572" s="533">
        <v>15076631</v>
      </c>
      <c r="Q572" s="794">
        <v>-150766.31</v>
      </c>
      <c r="R572" t="str">
        <f t="shared" si="12"/>
        <v>201709</v>
      </c>
      <c r="S572" s="405">
        <f>-Q572</f>
        <v>150766.31</v>
      </c>
    </row>
    <row r="573" spans="1:19">
      <c r="A573" s="821" t="s">
        <v>877</v>
      </c>
      <c r="B573" s="821" t="s">
        <v>878</v>
      </c>
      <c r="C573" s="821" t="s">
        <v>879</v>
      </c>
      <c r="D573" s="821" t="s">
        <v>880</v>
      </c>
      <c r="E573" s="821" t="s">
        <v>880</v>
      </c>
      <c r="F573" s="821" t="s">
        <v>881</v>
      </c>
      <c r="G573" s="821" t="s">
        <v>882</v>
      </c>
      <c r="H573" s="821" t="s">
        <v>1032</v>
      </c>
      <c r="I573" s="821" t="s">
        <v>1041</v>
      </c>
      <c r="J573" s="821" t="s">
        <v>885</v>
      </c>
      <c r="K573" s="821" t="s">
        <v>886</v>
      </c>
      <c r="L573" s="821" t="s">
        <v>1041</v>
      </c>
      <c r="M573" s="821" t="s">
        <v>1105</v>
      </c>
      <c r="N573" s="821" t="s">
        <v>888</v>
      </c>
      <c r="O573" s="821" t="s">
        <v>886</v>
      </c>
      <c r="P573" s="533">
        <v>46751</v>
      </c>
      <c r="Q573" s="820">
        <v>-467.51</v>
      </c>
      <c r="R573" t="str">
        <f t="shared" si="12"/>
        <v>201709</v>
      </c>
      <c r="S573" s="405">
        <f>-Q573</f>
        <v>467.51</v>
      </c>
    </row>
    <row r="574" spans="1:19">
      <c r="A574" s="821" t="s">
        <v>877</v>
      </c>
      <c r="B574" s="821" t="s">
        <v>878</v>
      </c>
      <c r="C574" s="821" t="s">
        <v>879</v>
      </c>
      <c r="D574" s="821" t="s">
        <v>880</v>
      </c>
      <c r="E574" s="821" t="s">
        <v>880</v>
      </c>
      <c r="F574" s="821" t="s">
        <v>881</v>
      </c>
      <c r="G574" s="821" t="s">
        <v>882</v>
      </c>
      <c r="H574" s="821" t="s">
        <v>1032</v>
      </c>
      <c r="I574" s="821" t="s">
        <v>1042</v>
      </c>
      <c r="J574" s="821" t="s">
        <v>885</v>
      </c>
      <c r="K574" s="821" t="s">
        <v>886</v>
      </c>
      <c r="L574" s="821" t="s">
        <v>1042</v>
      </c>
      <c r="M574" s="821" t="s">
        <v>1105</v>
      </c>
      <c r="N574" s="821" t="s">
        <v>886</v>
      </c>
      <c r="O574" s="821" t="s">
        <v>886</v>
      </c>
      <c r="P574" s="533">
        <v>93003</v>
      </c>
      <c r="Q574" s="820">
        <v>930.03</v>
      </c>
      <c r="R574" t="str">
        <f t="shared" si="12"/>
        <v>201709</v>
      </c>
      <c r="S574" s="405">
        <f>Q574</f>
        <v>930.03</v>
      </c>
    </row>
    <row r="575" spans="1:19">
      <c r="A575" s="821" t="s">
        <v>877</v>
      </c>
      <c r="B575" s="821" t="s">
        <v>878</v>
      </c>
      <c r="C575" s="821" t="s">
        <v>879</v>
      </c>
      <c r="D575" s="821" t="s">
        <v>880</v>
      </c>
      <c r="E575" s="821" t="s">
        <v>880</v>
      </c>
      <c r="F575" s="821" t="s">
        <v>881</v>
      </c>
      <c r="G575" s="821" t="s">
        <v>882</v>
      </c>
      <c r="H575" s="821" t="s">
        <v>1032</v>
      </c>
      <c r="I575" s="821" t="s">
        <v>1043</v>
      </c>
      <c r="J575" s="821" t="s">
        <v>885</v>
      </c>
      <c r="K575" s="821" t="s">
        <v>886</v>
      </c>
      <c r="L575" s="821" t="s">
        <v>1043</v>
      </c>
      <c r="M575" s="821" t="s">
        <v>1105</v>
      </c>
      <c r="N575" s="821" t="s">
        <v>888</v>
      </c>
      <c r="O575" s="821" t="s">
        <v>886</v>
      </c>
      <c r="P575" s="533">
        <v>279344</v>
      </c>
      <c r="Q575" s="820">
        <v>-2793.44</v>
      </c>
      <c r="R575" t="str">
        <f t="shared" si="12"/>
        <v>201709</v>
      </c>
      <c r="S575" s="405">
        <f>-Q575</f>
        <v>2793.44</v>
      </c>
    </row>
    <row r="576" spans="1:19">
      <c r="A576" s="821" t="s">
        <v>877</v>
      </c>
      <c r="B576" s="821" t="s">
        <v>878</v>
      </c>
      <c r="C576" s="821" t="s">
        <v>879</v>
      </c>
      <c r="D576" s="821" t="s">
        <v>880</v>
      </c>
      <c r="E576" s="821" t="s">
        <v>880</v>
      </c>
      <c r="F576" s="821" t="s">
        <v>881</v>
      </c>
      <c r="G576" s="821" t="s">
        <v>882</v>
      </c>
      <c r="H576" s="821" t="s">
        <v>1032</v>
      </c>
      <c r="I576" s="821" t="s">
        <v>1044</v>
      </c>
      <c r="J576" s="821" t="s">
        <v>885</v>
      </c>
      <c r="K576" s="821" t="s">
        <v>886</v>
      </c>
      <c r="L576" s="821" t="s">
        <v>1044</v>
      </c>
      <c r="M576" s="821" t="s">
        <v>1105</v>
      </c>
      <c r="N576" s="821" t="s">
        <v>886</v>
      </c>
      <c r="O576" s="821" t="s">
        <v>886</v>
      </c>
      <c r="P576" s="533">
        <v>132132</v>
      </c>
      <c r="Q576" s="820">
        <v>1321.32</v>
      </c>
      <c r="R576" t="str">
        <f t="shared" si="12"/>
        <v>201709</v>
      </c>
      <c r="S576" s="405">
        <f>Q576</f>
        <v>1321.32</v>
      </c>
    </row>
    <row r="577" spans="1:19">
      <c r="A577" s="821" t="s">
        <v>877</v>
      </c>
      <c r="B577" s="821" t="s">
        <v>878</v>
      </c>
      <c r="C577" s="821" t="s">
        <v>879</v>
      </c>
      <c r="D577" s="821" t="s">
        <v>880</v>
      </c>
      <c r="E577" s="821" t="s">
        <v>880</v>
      </c>
      <c r="F577" s="821" t="s">
        <v>881</v>
      </c>
      <c r="G577" s="821" t="s">
        <v>882</v>
      </c>
      <c r="H577" s="821" t="s">
        <v>1032</v>
      </c>
      <c r="I577" s="821" t="s">
        <v>1044</v>
      </c>
      <c r="J577" s="821" t="s">
        <v>885</v>
      </c>
      <c r="K577" s="821" t="s">
        <v>886</v>
      </c>
      <c r="L577" s="821" t="s">
        <v>1044</v>
      </c>
      <c r="M577" s="821" t="s">
        <v>1105</v>
      </c>
      <c r="N577" s="821" t="s">
        <v>888</v>
      </c>
      <c r="O577" s="821" t="s">
        <v>886</v>
      </c>
      <c r="P577" s="533">
        <v>99973462</v>
      </c>
      <c r="Q577" s="794">
        <v>-999734.62</v>
      </c>
      <c r="R577" t="str">
        <f t="shared" si="12"/>
        <v>201709</v>
      </c>
      <c r="S577" s="405">
        <f>-Q577</f>
        <v>999734.62</v>
      </c>
    </row>
    <row r="578" spans="1:19">
      <c r="A578" s="821" t="s">
        <v>877</v>
      </c>
      <c r="B578" s="821" t="s">
        <v>878</v>
      </c>
      <c r="C578" s="821" t="s">
        <v>879</v>
      </c>
      <c r="D578" s="821" t="s">
        <v>880</v>
      </c>
      <c r="E578" s="821" t="s">
        <v>880</v>
      </c>
      <c r="F578" s="821" t="s">
        <v>881</v>
      </c>
      <c r="G578" s="821" t="s">
        <v>882</v>
      </c>
      <c r="H578" s="821" t="s">
        <v>1032</v>
      </c>
      <c r="I578" s="821" t="s">
        <v>1045</v>
      </c>
      <c r="J578" s="821" t="s">
        <v>885</v>
      </c>
      <c r="K578" s="821" t="s">
        <v>886</v>
      </c>
      <c r="L578" s="821" t="s">
        <v>1045</v>
      </c>
      <c r="M578" s="821" t="s">
        <v>1105</v>
      </c>
      <c r="N578" s="821" t="s">
        <v>888</v>
      </c>
      <c r="O578" s="821" t="s">
        <v>886</v>
      </c>
      <c r="P578" s="533">
        <v>442033</v>
      </c>
      <c r="Q578" s="820">
        <v>-4420.33</v>
      </c>
      <c r="R578" t="str">
        <f t="shared" si="12"/>
        <v>201709</v>
      </c>
      <c r="S578" s="405">
        <f>-Q578</f>
        <v>4420.33</v>
      </c>
    </row>
    <row r="579" spans="1:19">
      <c r="A579" s="821" t="s">
        <v>877</v>
      </c>
      <c r="B579" s="821" t="s">
        <v>878</v>
      </c>
      <c r="C579" s="821" t="s">
        <v>879</v>
      </c>
      <c r="D579" s="821" t="s">
        <v>880</v>
      </c>
      <c r="E579" s="821" t="s">
        <v>880</v>
      </c>
      <c r="F579" s="821" t="s">
        <v>881</v>
      </c>
      <c r="G579" s="821" t="s">
        <v>882</v>
      </c>
      <c r="H579" s="821" t="s">
        <v>1032</v>
      </c>
      <c r="I579" s="821" t="s">
        <v>1046</v>
      </c>
      <c r="J579" s="821" t="s">
        <v>885</v>
      </c>
      <c r="K579" s="821" t="s">
        <v>886</v>
      </c>
      <c r="L579" s="821" t="s">
        <v>1046</v>
      </c>
      <c r="M579" s="821" t="s">
        <v>1105</v>
      </c>
      <c r="N579" s="821" t="s">
        <v>888</v>
      </c>
      <c r="O579" s="821" t="s">
        <v>886</v>
      </c>
      <c r="P579" s="533">
        <v>1192479</v>
      </c>
      <c r="Q579" s="820">
        <v>-11924.79</v>
      </c>
      <c r="R579" t="str">
        <f t="shared" ref="R579:R642" si="14">MID(L579,1,6)</f>
        <v>201709</v>
      </c>
      <c r="S579" s="405">
        <f>-Q579</f>
        <v>11924.79</v>
      </c>
    </row>
    <row r="580" spans="1:19">
      <c r="A580" s="821" t="s">
        <v>877</v>
      </c>
      <c r="B580" s="821" t="s">
        <v>878</v>
      </c>
      <c r="C580" s="821" t="s">
        <v>879</v>
      </c>
      <c r="D580" s="821" t="s">
        <v>880</v>
      </c>
      <c r="E580" s="821" t="s">
        <v>880</v>
      </c>
      <c r="F580" s="821" t="s">
        <v>881</v>
      </c>
      <c r="G580" s="821" t="s">
        <v>882</v>
      </c>
      <c r="H580" s="821" t="s">
        <v>1032</v>
      </c>
      <c r="I580" s="821" t="s">
        <v>1047</v>
      </c>
      <c r="J580" s="821" t="s">
        <v>885</v>
      </c>
      <c r="K580" s="821" t="s">
        <v>886</v>
      </c>
      <c r="L580" s="821" t="s">
        <v>1047</v>
      </c>
      <c r="M580" s="821" t="s">
        <v>1105</v>
      </c>
      <c r="N580" s="821" t="s">
        <v>886</v>
      </c>
      <c r="O580" s="821" t="s">
        <v>886</v>
      </c>
      <c r="P580" s="533">
        <v>1308181</v>
      </c>
      <c r="Q580" s="820">
        <v>13081.81</v>
      </c>
      <c r="R580" t="str">
        <f t="shared" si="14"/>
        <v>201709</v>
      </c>
      <c r="S580" s="405">
        <f>Q580</f>
        <v>13081.81</v>
      </c>
    </row>
    <row r="581" spans="1:19">
      <c r="A581" s="821" t="s">
        <v>877</v>
      </c>
      <c r="B581" s="821" t="s">
        <v>878</v>
      </c>
      <c r="C581" s="821" t="s">
        <v>879</v>
      </c>
      <c r="D581" s="821" t="s">
        <v>880</v>
      </c>
      <c r="E581" s="821" t="s">
        <v>880</v>
      </c>
      <c r="F581" s="821" t="s">
        <v>881</v>
      </c>
      <c r="G581" s="821" t="s">
        <v>882</v>
      </c>
      <c r="H581" s="821" t="s">
        <v>1032</v>
      </c>
      <c r="I581" s="821" t="s">
        <v>1048</v>
      </c>
      <c r="J581" s="821" t="s">
        <v>885</v>
      </c>
      <c r="K581" s="821" t="s">
        <v>886</v>
      </c>
      <c r="L581" s="821" t="s">
        <v>1048</v>
      </c>
      <c r="M581" s="821" t="s">
        <v>1105</v>
      </c>
      <c r="N581" s="821" t="s">
        <v>886</v>
      </c>
      <c r="O581" s="821" t="s">
        <v>886</v>
      </c>
      <c r="P581" s="533">
        <v>161324</v>
      </c>
      <c r="Q581" s="820">
        <v>1613.24</v>
      </c>
      <c r="R581" t="str">
        <f t="shared" si="14"/>
        <v>201709</v>
      </c>
      <c r="S581" s="405">
        <f>Q581</f>
        <v>1613.24</v>
      </c>
    </row>
    <row r="582" spans="1:19">
      <c r="A582" s="821" t="s">
        <v>877</v>
      </c>
      <c r="B582" s="821" t="s">
        <v>878</v>
      </c>
      <c r="C582" s="821" t="s">
        <v>879</v>
      </c>
      <c r="D582" s="821" t="s">
        <v>880</v>
      </c>
      <c r="E582" s="821" t="s">
        <v>880</v>
      </c>
      <c r="F582" s="821" t="s">
        <v>881</v>
      </c>
      <c r="G582" s="821" t="s">
        <v>882</v>
      </c>
      <c r="H582" s="821" t="s">
        <v>1032</v>
      </c>
      <c r="I582" s="821" t="s">
        <v>1048</v>
      </c>
      <c r="J582" s="821" t="s">
        <v>885</v>
      </c>
      <c r="K582" s="821" t="s">
        <v>886</v>
      </c>
      <c r="L582" s="821" t="s">
        <v>1048</v>
      </c>
      <c r="M582" s="821" t="s">
        <v>1105</v>
      </c>
      <c r="N582" s="821" t="s">
        <v>886</v>
      </c>
      <c r="O582" s="821" t="s">
        <v>886</v>
      </c>
      <c r="P582" s="533">
        <v>15000000</v>
      </c>
      <c r="Q582" s="794">
        <v>150000</v>
      </c>
      <c r="R582" t="str">
        <f t="shared" si="14"/>
        <v>201709</v>
      </c>
      <c r="S582" s="405">
        <f>Q582</f>
        <v>150000</v>
      </c>
    </row>
    <row r="583" spans="1:19">
      <c r="A583" s="821" t="s">
        <v>877</v>
      </c>
      <c r="B583" s="821" t="s">
        <v>878</v>
      </c>
      <c r="C583" s="821" t="s">
        <v>879</v>
      </c>
      <c r="D583" s="821" t="s">
        <v>880</v>
      </c>
      <c r="E583" s="821" t="s">
        <v>880</v>
      </c>
      <c r="F583" s="821" t="s">
        <v>881</v>
      </c>
      <c r="G583" s="821" t="s">
        <v>882</v>
      </c>
      <c r="H583" s="821" t="s">
        <v>1032</v>
      </c>
      <c r="I583" s="821" t="s">
        <v>1049</v>
      </c>
      <c r="J583" s="821" t="s">
        <v>885</v>
      </c>
      <c r="K583" s="821" t="s">
        <v>886</v>
      </c>
      <c r="L583" s="821" t="s">
        <v>1049</v>
      </c>
      <c r="M583" s="821" t="s">
        <v>1105</v>
      </c>
      <c r="N583" s="821" t="s">
        <v>886</v>
      </c>
      <c r="O583" s="821" t="s">
        <v>886</v>
      </c>
      <c r="P583" s="533">
        <v>186551</v>
      </c>
      <c r="Q583" s="820">
        <v>1865.51</v>
      </c>
      <c r="R583" t="str">
        <f t="shared" si="14"/>
        <v>201709</v>
      </c>
      <c r="S583" s="405">
        <f>Q583</f>
        <v>1865.51</v>
      </c>
    </row>
    <row r="584" spans="1:19">
      <c r="A584" s="821" t="s">
        <v>877</v>
      </c>
      <c r="B584" s="821" t="s">
        <v>878</v>
      </c>
      <c r="C584" s="821" t="s">
        <v>879</v>
      </c>
      <c r="D584" s="821" t="s">
        <v>880</v>
      </c>
      <c r="E584" s="821" t="s">
        <v>880</v>
      </c>
      <c r="F584" s="821" t="s">
        <v>881</v>
      </c>
      <c r="G584" s="821" t="s">
        <v>882</v>
      </c>
      <c r="H584" s="821" t="s">
        <v>1032</v>
      </c>
      <c r="I584" s="821" t="s">
        <v>1050</v>
      </c>
      <c r="J584" s="821" t="s">
        <v>885</v>
      </c>
      <c r="K584" s="821" t="s">
        <v>886</v>
      </c>
      <c r="L584" s="821" t="s">
        <v>1050</v>
      </c>
      <c r="M584" s="821" t="s">
        <v>1105</v>
      </c>
      <c r="N584" s="821" t="s">
        <v>888</v>
      </c>
      <c r="O584" s="821" t="s">
        <v>886</v>
      </c>
      <c r="P584" s="533">
        <v>475603</v>
      </c>
      <c r="Q584" s="820">
        <v>-4756.03</v>
      </c>
      <c r="R584" t="str">
        <f t="shared" si="14"/>
        <v>201709</v>
      </c>
      <c r="S584" s="405">
        <f>-Q584</f>
        <v>4756.03</v>
      </c>
    </row>
    <row r="585" spans="1:19">
      <c r="A585" s="821" t="s">
        <v>877</v>
      </c>
      <c r="B585" s="821" t="s">
        <v>878</v>
      </c>
      <c r="C585" s="821" t="s">
        <v>879</v>
      </c>
      <c r="D585" s="821" t="s">
        <v>880</v>
      </c>
      <c r="E585" s="821" t="s">
        <v>880</v>
      </c>
      <c r="F585" s="821" t="s">
        <v>881</v>
      </c>
      <c r="G585" s="821" t="s">
        <v>882</v>
      </c>
      <c r="H585" s="821" t="s">
        <v>1032</v>
      </c>
      <c r="I585" s="821" t="s">
        <v>1051</v>
      </c>
      <c r="J585" s="821" t="s">
        <v>885</v>
      </c>
      <c r="K585" s="821" t="s">
        <v>886</v>
      </c>
      <c r="L585" s="821" t="s">
        <v>1051</v>
      </c>
      <c r="M585" s="821" t="s">
        <v>1105</v>
      </c>
      <c r="N585" s="821" t="s">
        <v>886</v>
      </c>
      <c r="O585" s="821" t="s">
        <v>886</v>
      </c>
      <c r="P585" s="533">
        <v>989359</v>
      </c>
      <c r="Q585" s="820">
        <v>9893.59</v>
      </c>
      <c r="R585" t="str">
        <f t="shared" si="14"/>
        <v>201709</v>
      </c>
      <c r="S585" s="405">
        <f>Q585</f>
        <v>9893.59</v>
      </c>
    </row>
    <row r="586" spans="1:19">
      <c r="A586" s="821" t="s">
        <v>877</v>
      </c>
      <c r="B586" s="821" t="s">
        <v>878</v>
      </c>
      <c r="C586" s="821" t="s">
        <v>879</v>
      </c>
      <c r="D586" s="821" t="s">
        <v>880</v>
      </c>
      <c r="E586" s="821" t="s">
        <v>880</v>
      </c>
      <c r="F586" s="821" t="s">
        <v>881</v>
      </c>
      <c r="G586" s="821" t="s">
        <v>882</v>
      </c>
      <c r="H586" s="821" t="s">
        <v>1032</v>
      </c>
      <c r="I586" s="821" t="s">
        <v>1052</v>
      </c>
      <c r="J586" s="821" t="s">
        <v>885</v>
      </c>
      <c r="K586" s="821" t="s">
        <v>886</v>
      </c>
      <c r="L586" s="821" t="s">
        <v>1052</v>
      </c>
      <c r="M586" s="821" t="s">
        <v>1105</v>
      </c>
      <c r="N586" s="821" t="s">
        <v>886</v>
      </c>
      <c r="O586" s="821" t="s">
        <v>886</v>
      </c>
      <c r="P586" s="533">
        <v>22105</v>
      </c>
      <c r="Q586" s="820">
        <v>221.05</v>
      </c>
      <c r="R586" t="str">
        <f t="shared" si="14"/>
        <v>201709</v>
      </c>
      <c r="S586" s="405">
        <f>Q586</f>
        <v>221.05</v>
      </c>
    </row>
    <row r="587" spans="1:19">
      <c r="A587" s="821" t="s">
        <v>877</v>
      </c>
      <c r="B587" s="821" t="s">
        <v>878</v>
      </c>
      <c r="C587" s="821" t="s">
        <v>879</v>
      </c>
      <c r="D587" s="821" t="s">
        <v>880</v>
      </c>
      <c r="E587" s="821" t="s">
        <v>880</v>
      </c>
      <c r="F587" s="821" t="s">
        <v>881</v>
      </c>
      <c r="G587" s="821" t="s">
        <v>882</v>
      </c>
      <c r="H587" s="821" t="s">
        <v>1032</v>
      </c>
      <c r="I587" s="821" t="s">
        <v>1052</v>
      </c>
      <c r="J587" s="821" t="s">
        <v>885</v>
      </c>
      <c r="K587" s="821" t="s">
        <v>886</v>
      </c>
      <c r="L587" s="821" t="s">
        <v>1052</v>
      </c>
      <c r="M587" s="821" t="s">
        <v>1105</v>
      </c>
      <c r="N587" s="821" t="s">
        <v>886</v>
      </c>
      <c r="O587" s="821" t="s">
        <v>886</v>
      </c>
      <c r="P587" s="533">
        <v>270185</v>
      </c>
      <c r="Q587" s="820">
        <v>2701.85</v>
      </c>
      <c r="R587" t="str">
        <f t="shared" si="14"/>
        <v>201709</v>
      </c>
      <c r="S587" s="405">
        <f>Q587</f>
        <v>2701.85</v>
      </c>
    </row>
    <row r="588" spans="1:19">
      <c r="A588" s="821" t="s">
        <v>877</v>
      </c>
      <c r="B588" s="821" t="s">
        <v>878</v>
      </c>
      <c r="C588" s="821" t="s">
        <v>879</v>
      </c>
      <c r="D588" s="821" t="s">
        <v>880</v>
      </c>
      <c r="E588" s="821" t="s">
        <v>880</v>
      </c>
      <c r="F588" s="821" t="s">
        <v>881</v>
      </c>
      <c r="G588" s="821" t="s">
        <v>882</v>
      </c>
      <c r="H588" s="821" t="s">
        <v>1032</v>
      </c>
      <c r="I588" s="821" t="s">
        <v>1053</v>
      </c>
      <c r="J588" s="821" t="s">
        <v>885</v>
      </c>
      <c r="K588" s="821" t="s">
        <v>886</v>
      </c>
      <c r="L588" s="821" t="s">
        <v>1053</v>
      </c>
      <c r="M588" s="821" t="s">
        <v>1105</v>
      </c>
      <c r="N588" s="821" t="s">
        <v>888</v>
      </c>
      <c r="O588" s="821" t="s">
        <v>886</v>
      </c>
      <c r="P588" s="533">
        <v>270185</v>
      </c>
      <c r="Q588" s="820">
        <v>-2701.85</v>
      </c>
      <c r="R588" t="str">
        <f t="shared" si="14"/>
        <v>201710</v>
      </c>
      <c r="S588" s="405">
        <f>-Q588</f>
        <v>2701.85</v>
      </c>
    </row>
    <row r="589" spans="1:19">
      <c r="A589" s="821" t="s">
        <v>877</v>
      </c>
      <c r="B589" s="821" t="s">
        <v>878</v>
      </c>
      <c r="C589" s="821" t="s">
        <v>879</v>
      </c>
      <c r="D589" s="821" t="s">
        <v>880</v>
      </c>
      <c r="E589" s="821" t="s">
        <v>880</v>
      </c>
      <c r="F589" s="821" t="s">
        <v>881</v>
      </c>
      <c r="G589" s="821" t="s">
        <v>882</v>
      </c>
      <c r="H589" s="821" t="s">
        <v>1032</v>
      </c>
      <c r="I589" s="821" t="s">
        <v>1053</v>
      </c>
      <c r="J589" s="821" t="s">
        <v>885</v>
      </c>
      <c r="K589" s="821" t="s">
        <v>886</v>
      </c>
      <c r="L589" s="821" t="s">
        <v>1053</v>
      </c>
      <c r="M589" s="821" t="s">
        <v>1105</v>
      </c>
      <c r="N589" s="821" t="s">
        <v>888</v>
      </c>
      <c r="O589" s="821" t="s">
        <v>886</v>
      </c>
      <c r="P589" s="533">
        <v>270185</v>
      </c>
      <c r="Q589" s="820">
        <v>-2701.85</v>
      </c>
      <c r="R589" t="str">
        <f t="shared" si="14"/>
        <v>201710</v>
      </c>
      <c r="S589" s="405">
        <f>-Q589</f>
        <v>2701.85</v>
      </c>
    </row>
    <row r="590" spans="1:19">
      <c r="A590" s="821" t="s">
        <v>877</v>
      </c>
      <c r="B590" s="821" t="s">
        <v>878</v>
      </c>
      <c r="C590" s="821" t="s">
        <v>879</v>
      </c>
      <c r="D590" s="821" t="s">
        <v>880</v>
      </c>
      <c r="E590" s="821" t="s">
        <v>880</v>
      </c>
      <c r="F590" s="821" t="s">
        <v>881</v>
      </c>
      <c r="G590" s="821" t="s">
        <v>882</v>
      </c>
      <c r="H590" s="821" t="s">
        <v>1032</v>
      </c>
      <c r="I590" s="821" t="s">
        <v>1054</v>
      </c>
      <c r="J590" s="821" t="s">
        <v>885</v>
      </c>
      <c r="K590" s="821" t="s">
        <v>886</v>
      </c>
      <c r="L590" s="821" t="s">
        <v>1054</v>
      </c>
      <c r="M590" s="821" t="s">
        <v>1105</v>
      </c>
      <c r="N590" s="821" t="s">
        <v>888</v>
      </c>
      <c r="O590" s="821" t="s">
        <v>886</v>
      </c>
      <c r="P590" s="533">
        <v>260403</v>
      </c>
      <c r="Q590" s="820">
        <v>-2604.0300000000002</v>
      </c>
      <c r="R590" t="str">
        <f t="shared" si="14"/>
        <v>201710</v>
      </c>
      <c r="S590" s="405">
        <f>-Q590</f>
        <v>2604.0300000000002</v>
      </c>
    </row>
    <row r="591" spans="1:19">
      <c r="A591" s="821" t="s">
        <v>877</v>
      </c>
      <c r="B591" s="821" t="s">
        <v>878</v>
      </c>
      <c r="C591" s="821" t="s">
        <v>879</v>
      </c>
      <c r="D591" s="821" t="s">
        <v>880</v>
      </c>
      <c r="E591" s="821" t="s">
        <v>880</v>
      </c>
      <c r="F591" s="821" t="s">
        <v>881</v>
      </c>
      <c r="G591" s="821" t="s">
        <v>882</v>
      </c>
      <c r="H591" s="821" t="s">
        <v>1032</v>
      </c>
      <c r="I591" s="821" t="s">
        <v>1055</v>
      </c>
      <c r="J591" s="821" t="s">
        <v>885</v>
      </c>
      <c r="K591" s="821" t="s">
        <v>886</v>
      </c>
      <c r="L591" s="821" t="s">
        <v>1055</v>
      </c>
      <c r="M591" s="821" t="s">
        <v>1105</v>
      </c>
      <c r="N591" s="821" t="s">
        <v>886</v>
      </c>
      <c r="O591" s="821" t="s">
        <v>886</v>
      </c>
      <c r="P591" s="533">
        <v>374854</v>
      </c>
      <c r="Q591" s="820">
        <v>3748.54</v>
      </c>
      <c r="R591" t="str">
        <f t="shared" si="14"/>
        <v>201710</v>
      </c>
      <c r="S591" s="405">
        <f>Q591</f>
        <v>3748.54</v>
      </c>
    </row>
    <row r="592" spans="1:19">
      <c r="A592" s="821" t="s">
        <v>877</v>
      </c>
      <c r="B592" s="821" t="s">
        <v>878</v>
      </c>
      <c r="C592" s="821" t="s">
        <v>879</v>
      </c>
      <c r="D592" s="821" t="s">
        <v>880</v>
      </c>
      <c r="E592" s="821" t="s">
        <v>880</v>
      </c>
      <c r="F592" s="821" t="s">
        <v>881</v>
      </c>
      <c r="G592" s="821" t="s">
        <v>882</v>
      </c>
      <c r="H592" s="821" t="s">
        <v>1032</v>
      </c>
      <c r="I592" s="821" t="s">
        <v>1056</v>
      </c>
      <c r="J592" s="821" t="s">
        <v>885</v>
      </c>
      <c r="K592" s="821" t="s">
        <v>886</v>
      </c>
      <c r="L592" s="821" t="s">
        <v>1056</v>
      </c>
      <c r="M592" s="821" t="s">
        <v>1105</v>
      </c>
      <c r="N592" s="821" t="s">
        <v>888</v>
      </c>
      <c r="O592" s="821" t="s">
        <v>886</v>
      </c>
      <c r="P592" s="533">
        <v>1168334</v>
      </c>
      <c r="Q592" s="820">
        <v>-11683.34</v>
      </c>
      <c r="R592" t="str">
        <f t="shared" si="14"/>
        <v>201710</v>
      </c>
      <c r="S592" s="405">
        <f>-Q592</f>
        <v>11683.34</v>
      </c>
    </row>
    <row r="593" spans="1:19">
      <c r="A593" s="821" t="s">
        <v>877</v>
      </c>
      <c r="B593" s="821" t="s">
        <v>878</v>
      </c>
      <c r="C593" s="821" t="s">
        <v>879</v>
      </c>
      <c r="D593" s="821" t="s">
        <v>880</v>
      </c>
      <c r="E593" s="821" t="s">
        <v>880</v>
      </c>
      <c r="F593" s="821" t="s">
        <v>881</v>
      </c>
      <c r="G593" s="821" t="s">
        <v>882</v>
      </c>
      <c r="H593" s="821" t="s">
        <v>1032</v>
      </c>
      <c r="I593" s="821" t="s">
        <v>1057</v>
      </c>
      <c r="J593" s="821" t="s">
        <v>885</v>
      </c>
      <c r="K593" s="821" t="s">
        <v>886</v>
      </c>
      <c r="L593" s="821" t="s">
        <v>1057</v>
      </c>
      <c r="M593" s="821" t="s">
        <v>1105</v>
      </c>
      <c r="N593" s="821" t="s">
        <v>886</v>
      </c>
      <c r="O593" s="821" t="s">
        <v>886</v>
      </c>
      <c r="P593" s="533">
        <v>899093</v>
      </c>
      <c r="Q593" s="820">
        <v>8990.93</v>
      </c>
      <c r="R593" t="str">
        <f t="shared" si="14"/>
        <v>201710</v>
      </c>
      <c r="S593" s="405">
        <f>Q593</f>
        <v>8990.93</v>
      </c>
    </row>
    <row r="594" spans="1:19">
      <c r="A594" s="821" t="s">
        <v>877</v>
      </c>
      <c r="B594" s="821" t="s">
        <v>878</v>
      </c>
      <c r="C594" s="821" t="s">
        <v>879</v>
      </c>
      <c r="D594" s="821" t="s">
        <v>880</v>
      </c>
      <c r="E594" s="821" t="s">
        <v>880</v>
      </c>
      <c r="F594" s="821" t="s">
        <v>881</v>
      </c>
      <c r="G594" s="821" t="s">
        <v>882</v>
      </c>
      <c r="H594" s="821" t="s">
        <v>1032</v>
      </c>
      <c r="I594" s="821" t="s">
        <v>1058</v>
      </c>
      <c r="J594" s="821" t="s">
        <v>885</v>
      </c>
      <c r="K594" s="821" t="s">
        <v>886</v>
      </c>
      <c r="L594" s="821" t="s">
        <v>1058</v>
      </c>
      <c r="M594" s="821" t="s">
        <v>1105</v>
      </c>
      <c r="N594" s="821" t="s">
        <v>888</v>
      </c>
      <c r="O594" s="821" t="s">
        <v>886</v>
      </c>
      <c r="P594" s="533">
        <v>492483</v>
      </c>
      <c r="Q594" s="820">
        <v>-4924.83</v>
      </c>
      <c r="R594" t="str">
        <f t="shared" si="14"/>
        <v>201710</v>
      </c>
      <c r="S594" s="405">
        <f>-Q594</f>
        <v>4924.83</v>
      </c>
    </row>
    <row r="595" spans="1:19">
      <c r="A595" s="821" t="s">
        <v>877</v>
      </c>
      <c r="B595" s="821" t="s">
        <v>878</v>
      </c>
      <c r="C595" s="821" t="s">
        <v>879</v>
      </c>
      <c r="D595" s="821" t="s">
        <v>880</v>
      </c>
      <c r="E595" s="821" t="s">
        <v>880</v>
      </c>
      <c r="F595" s="821" t="s">
        <v>881</v>
      </c>
      <c r="G595" s="821" t="s">
        <v>882</v>
      </c>
      <c r="H595" s="821" t="s">
        <v>1032</v>
      </c>
      <c r="I595" s="821" t="s">
        <v>1059</v>
      </c>
      <c r="J595" s="821" t="s">
        <v>885</v>
      </c>
      <c r="K595" s="821" t="s">
        <v>886</v>
      </c>
      <c r="L595" s="821" t="s">
        <v>1059</v>
      </c>
      <c r="M595" s="821" t="s">
        <v>1105</v>
      </c>
      <c r="N595" s="821" t="s">
        <v>886</v>
      </c>
      <c r="O595" s="821" t="s">
        <v>886</v>
      </c>
      <c r="P595" s="533">
        <v>171576</v>
      </c>
      <c r="Q595" s="820">
        <v>1715.76</v>
      </c>
      <c r="R595" t="str">
        <f t="shared" si="14"/>
        <v>201710</v>
      </c>
      <c r="S595" s="405">
        <f>Q595</f>
        <v>1715.76</v>
      </c>
    </row>
    <row r="596" spans="1:19">
      <c r="A596" s="821" t="s">
        <v>877</v>
      </c>
      <c r="B596" s="821" t="s">
        <v>878</v>
      </c>
      <c r="C596" s="821" t="s">
        <v>879</v>
      </c>
      <c r="D596" s="821" t="s">
        <v>880</v>
      </c>
      <c r="E596" s="821" t="s">
        <v>880</v>
      </c>
      <c r="F596" s="821" t="s">
        <v>881</v>
      </c>
      <c r="G596" s="821" t="s">
        <v>882</v>
      </c>
      <c r="H596" s="821" t="s">
        <v>1032</v>
      </c>
      <c r="I596" s="821" t="s">
        <v>1059</v>
      </c>
      <c r="J596" s="821" t="s">
        <v>885</v>
      </c>
      <c r="K596" s="821" t="s">
        <v>886</v>
      </c>
      <c r="L596" s="821" t="s">
        <v>1059</v>
      </c>
      <c r="M596" s="821" t="s">
        <v>1105</v>
      </c>
      <c r="N596" s="821" t="s">
        <v>886</v>
      </c>
      <c r="O596" s="821" t="s">
        <v>886</v>
      </c>
      <c r="P596" s="533">
        <v>340874</v>
      </c>
      <c r="Q596" s="820">
        <v>3408.74</v>
      </c>
      <c r="R596" t="str">
        <f t="shared" si="14"/>
        <v>201710</v>
      </c>
      <c r="S596" s="405">
        <f>Q596</f>
        <v>3408.74</v>
      </c>
    </row>
    <row r="597" spans="1:19">
      <c r="A597" s="821" t="s">
        <v>877</v>
      </c>
      <c r="B597" s="821" t="s">
        <v>878</v>
      </c>
      <c r="C597" s="821" t="s">
        <v>879</v>
      </c>
      <c r="D597" s="821" t="s">
        <v>880</v>
      </c>
      <c r="E597" s="821" t="s">
        <v>880</v>
      </c>
      <c r="F597" s="821" t="s">
        <v>881</v>
      </c>
      <c r="G597" s="821" t="s">
        <v>882</v>
      </c>
      <c r="H597" s="821" t="s">
        <v>1032</v>
      </c>
      <c r="I597" s="821" t="s">
        <v>1059</v>
      </c>
      <c r="J597" s="821" t="s">
        <v>885</v>
      </c>
      <c r="K597" s="821" t="s">
        <v>886</v>
      </c>
      <c r="L597" s="821" t="s">
        <v>1059</v>
      </c>
      <c r="M597" s="821" t="s">
        <v>1105</v>
      </c>
      <c r="N597" s="821" t="s">
        <v>888</v>
      </c>
      <c r="O597" s="821" t="s">
        <v>886</v>
      </c>
      <c r="P597" s="533">
        <v>1155799</v>
      </c>
      <c r="Q597" s="820">
        <v>-11557.99</v>
      </c>
      <c r="R597" t="str">
        <f t="shared" si="14"/>
        <v>201710</v>
      </c>
      <c r="S597" s="405">
        <f>-Q597</f>
        <v>11557.99</v>
      </c>
    </row>
    <row r="598" spans="1:19">
      <c r="A598" s="821" t="s">
        <v>877</v>
      </c>
      <c r="B598" s="821" t="s">
        <v>878</v>
      </c>
      <c r="C598" s="821" t="s">
        <v>879</v>
      </c>
      <c r="D598" s="821" t="s">
        <v>880</v>
      </c>
      <c r="E598" s="821" t="s">
        <v>880</v>
      </c>
      <c r="F598" s="821" t="s">
        <v>881</v>
      </c>
      <c r="G598" s="821" t="s">
        <v>882</v>
      </c>
      <c r="H598" s="821" t="s">
        <v>1032</v>
      </c>
      <c r="I598" s="821" t="s">
        <v>1060</v>
      </c>
      <c r="J598" s="821" t="s">
        <v>885</v>
      </c>
      <c r="K598" s="821" t="s">
        <v>886</v>
      </c>
      <c r="L598" s="821" t="s">
        <v>1060</v>
      </c>
      <c r="M598" s="821" t="s">
        <v>1105</v>
      </c>
      <c r="N598" s="821" t="s">
        <v>886</v>
      </c>
      <c r="O598" s="821" t="s">
        <v>886</v>
      </c>
      <c r="P598" s="533">
        <v>758620</v>
      </c>
      <c r="Q598" s="820">
        <v>7586.2</v>
      </c>
      <c r="R598" t="str">
        <f t="shared" si="14"/>
        <v>201710</v>
      </c>
      <c r="S598" s="405">
        <f>Q598</f>
        <v>7586.2</v>
      </c>
    </row>
    <row r="599" spans="1:19">
      <c r="A599" s="821" t="s">
        <v>877</v>
      </c>
      <c r="B599" s="821" t="s">
        <v>878</v>
      </c>
      <c r="C599" s="821" t="s">
        <v>879</v>
      </c>
      <c r="D599" s="821" t="s">
        <v>880</v>
      </c>
      <c r="E599" s="821" t="s">
        <v>880</v>
      </c>
      <c r="F599" s="821" t="s">
        <v>881</v>
      </c>
      <c r="G599" s="821" t="s">
        <v>882</v>
      </c>
      <c r="H599" s="821" t="s">
        <v>1032</v>
      </c>
      <c r="I599" s="821" t="s">
        <v>1061</v>
      </c>
      <c r="J599" s="821" t="s">
        <v>885</v>
      </c>
      <c r="K599" s="821" t="s">
        <v>886</v>
      </c>
      <c r="L599" s="821" t="s">
        <v>1061</v>
      </c>
      <c r="M599" s="821" t="s">
        <v>1105</v>
      </c>
      <c r="N599" s="821" t="s">
        <v>888</v>
      </c>
      <c r="O599" s="821" t="s">
        <v>886</v>
      </c>
      <c r="P599" s="533">
        <v>150275</v>
      </c>
      <c r="Q599" s="820">
        <v>-1502.75</v>
      </c>
      <c r="R599" t="str">
        <f t="shared" si="14"/>
        <v>201710</v>
      </c>
      <c r="S599" s="405">
        <f>-Q599</f>
        <v>1502.75</v>
      </c>
    </row>
    <row r="600" spans="1:19">
      <c r="A600" s="821" t="s">
        <v>877</v>
      </c>
      <c r="B600" s="821" t="s">
        <v>878</v>
      </c>
      <c r="C600" s="821" t="s">
        <v>879</v>
      </c>
      <c r="D600" s="821" t="s">
        <v>880</v>
      </c>
      <c r="E600" s="821" t="s">
        <v>880</v>
      </c>
      <c r="F600" s="821" t="s">
        <v>881</v>
      </c>
      <c r="G600" s="821" t="s">
        <v>882</v>
      </c>
      <c r="H600" s="821" t="s">
        <v>1032</v>
      </c>
      <c r="I600" s="821" t="s">
        <v>1062</v>
      </c>
      <c r="J600" s="821" t="s">
        <v>885</v>
      </c>
      <c r="K600" s="821" t="s">
        <v>886</v>
      </c>
      <c r="L600" s="821" t="s">
        <v>1062</v>
      </c>
      <c r="M600" s="821" t="s">
        <v>1105</v>
      </c>
      <c r="N600" s="821" t="s">
        <v>888</v>
      </c>
      <c r="O600" s="821" t="s">
        <v>886</v>
      </c>
      <c r="P600" s="533">
        <v>38661</v>
      </c>
      <c r="Q600" s="820">
        <v>-386.61</v>
      </c>
      <c r="R600" t="str">
        <f t="shared" si="14"/>
        <v>201710</v>
      </c>
      <c r="S600" s="405">
        <f>-Q600</f>
        <v>386.61</v>
      </c>
    </row>
    <row r="601" spans="1:19">
      <c r="A601" s="821" t="s">
        <v>877</v>
      </c>
      <c r="B601" s="821" t="s">
        <v>878</v>
      </c>
      <c r="C601" s="821" t="s">
        <v>879</v>
      </c>
      <c r="D601" s="821" t="s">
        <v>880</v>
      </c>
      <c r="E601" s="821" t="s">
        <v>880</v>
      </c>
      <c r="F601" s="821" t="s">
        <v>881</v>
      </c>
      <c r="G601" s="821" t="s">
        <v>882</v>
      </c>
      <c r="H601" s="821" t="s">
        <v>1032</v>
      </c>
      <c r="I601" s="821" t="s">
        <v>1062</v>
      </c>
      <c r="J601" s="821" t="s">
        <v>885</v>
      </c>
      <c r="K601" s="821" t="s">
        <v>886</v>
      </c>
      <c r="L601" s="821" t="s">
        <v>1062</v>
      </c>
      <c r="M601" s="821" t="s">
        <v>1105</v>
      </c>
      <c r="N601" s="821" t="s">
        <v>886</v>
      </c>
      <c r="O601" s="821" t="s">
        <v>886</v>
      </c>
      <c r="P601" s="533">
        <v>55000000</v>
      </c>
      <c r="Q601" s="794">
        <v>550000</v>
      </c>
      <c r="R601" t="str">
        <f t="shared" si="14"/>
        <v>201710</v>
      </c>
      <c r="S601" s="405">
        <f>Q601</f>
        <v>550000</v>
      </c>
    </row>
    <row r="602" spans="1:19">
      <c r="A602" s="821" t="s">
        <v>877</v>
      </c>
      <c r="B602" s="821" t="s">
        <v>878</v>
      </c>
      <c r="C602" s="821" t="s">
        <v>879</v>
      </c>
      <c r="D602" s="821" t="s">
        <v>880</v>
      </c>
      <c r="E602" s="821" t="s">
        <v>880</v>
      </c>
      <c r="F602" s="821" t="s">
        <v>881</v>
      </c>
      <c r="G602" s="821" t="s">
        <v>882</v>
      </c>
      <c r="H602" s="821" t="s">
        <v>1032</v>
      </c>
      <c r="I602" s="821" t="s">
        <v>1063</v>
      </c>
      <c r="J602" s="821" t="s">
        <v>885</v>
      </c>
      <c r="K602" s="821" t="s">
        <v>886</v>
      </c>
      <c r="L602" s="821" t="s">
        <v>1063</v>
      </c>
      <c r="M602" s="821" t="s">
        <v>1105</v>
      </c>
      <c r="N602" s="821" t="s">
        <v>886</v>
      </c>
      <c r="O602" s="821" t="s">
        <v>886</v>
      </c>
      <c r="P602" s="533">
        <v>773815</v>
      </c>
      <c r="Q602" s="820">
        <v>7738.15</v>
      </c>
      <c r="R602" t="str">
        <f t="shared" si="14"/>
        <v>201710</v>
      </c>
      <c r="S602" s="405">
        <f>Q602</f>
        <v>7738.15</v>
      </c>
    </row>
    <row r="603" spans="1:19">
      <c r="A603" s="821" t="s">
        <v>877</v>
      </c>
      <c r="B603" s="821" t="s">
        <v>878</v>
      </c>
      <c r="C603" s="821" t="s">
        <v>879</v>
      </c>
      <c r="D603" s="821" t="s">
        <v>880</v>
      </c>
      <c r="E603" s="821" t="s">
        <v>880</v>
      </c>
      <c r="F603" s="821" t="s">
        <v>881</v>
      </c>
      <c r="G603" s="821" t="s">
        <v>882</v>
      </c>
      <c r="H603" s="821" t="s">
        <v>1032</v>
      </c>
      <c r="I603" s="821" t="s">
        <v>1063</v>
      </c>
      <c r="J603" s="821" t="s">
        <v>885</v>
      </c>
      <c r="K603" s="821" t="s">
        <v>886</v>
      </c>
      <c r="L603" s="821" t="s">
        <v>1063</v>
      </c>
      <c r="M603" s="821" t="s">
        <v>1105</v>
      </c>
      <c r="N603" s="821" t="s">
        <v>886</v>
      </c>
      <c r="O603" s="821" t="s">
        <v>886</v>
      </c>
      <c r="P603" s="533">
        <v>47500000</v>
      </c>
      <c r="Q603" s="794">
        <v>475000</v>
      </c>
      <c r="R603" t="str">
        <f t="shared" si="14"/>
        <v>201710</v>
      </c>
      <c r="S603" s="405">
        <f>Q603</f>
        <v>475000</v>
      </c>
    </row>
    <row r="604" spans="1:19">
      <c r="A604" s="821" t="s">
        <v>877</v>
      </c>
      <c r="B604" s="821" t="s">
        <v>878</v>
      </c>
      <c r="C604" s="821" t="s">
        <v>879</v>
      </c>
      <c r="D604" s="821" t="s">
        <v>880</v>
      </c>
      <c r="E604" s="821" t="s">
        <v>880</v>
      </c>
      <c r="F604" s="821" t="s">
        <v>881</v>
      </c>
      <c r="G604" s="821" t="s">
        <v>882</v>
      </c>
      <c r="H604" s="821" t="s">
        <v>1032</v>
      </c>
      <c r="I604" s="821" t="s">
        <v>1064</v>
      </c>
      <c r="J604" s="821" t="s">
        <v>885</v>
      </c>
      <c r="K604" s="821" t="s">
        <v>886</v>
      </c>
      <c r="L604" s="821" t="s">
        <v>1064</v>
      </c>
      <c r="M604" s="821" t="s">
        <v>1105</v>
      </c>
      <c r="N604" s="821" t="s">
        <v>888</v>
      </c>
      <c r="O604" s="821" t="s">
        <v>886</v>
      </c>
      <c r="P604" s="533">
        <v>955974</v>
      </c>
      <c r="Q604" s="820">
        <v>-9559.74</v>
      </c>
      <c r="R604" t="str">
        <f t="shared" si="14"/>
        <v>201710</v>
      </c>
      <c r="S604" s="405">
        <f>-Q604</f>
        <v>9559.74</v>
      </c>
    </row>
    <row r="605" spans="1:19">
      <c r="A605" s="821" t="s">
        <v>877</v>
      </c>
      <c r="B605" s="821" t="s">
        <v>878</v>
      </c>
      <c r="C605" s="821" t="s">
        <v>879</v>
      </c>
      <c r="D605" s="821" t="s">
        <v>880</v>
      </c>
      <c r="E605" s="821" t="s">
        <v>880</v>
      </c>
      <c r="F605" s="821" t="s">
        <v>881</v>
      </c>
      <c r="G605" s="821" t="s">
        <v>882</v>
      </c>
      <c r="H605" s="821" t="s">
        <v>1032</v>
      </c>
      <c r="I605" s="821" t="s">
        <v>1065</v>
      </c>
      <c r="J605" s="821" t="s">
        <v>885</v>
      </c>
      <c r="K605" s="821" t="s">
        <v>886</v>
      </c>
      <c r="L605" s="821" t="s">
        <v>1065</v>
      </c>
      <c r="M605" s="821" t="s">
        <v>1105</v>
      </c>
      <c r="N605" s="821" t="s">
        <v>888</v>
      </c>
      <c r="O605" s="821" t="s">
        <v>886</v>
      </c>
      <c r="P605" s="533">
        <v>7439</v>
      </c>
      <c r="Q605" s="820">
        <v>-74.39</v>
      </c>
      <c r="R605" t="str">
        <f t="shared" si="14"/>
        <v>201710</v>
      </c>
      <c r="S605" s="405">
        <f>-Q605</f>
        <v>74.39</v>
      </c>
    </row>
    <row r="606" spans="1:19">
      <c r="A606" s="821" t="s">
        <v>877</v>
      </c>
      <c r="B606" s="821" t="s">
        <v>878</v>
      </c>
      <c r="C606" s="821" t="s">
        <v>879</v>
      </c>
      <c r="D606" s="821" t="s">
        <v>880</v>
      </c>
      <c r="E606" s="821" t="s">
        <v>880</v>
      </c>
      <c r="F606" s="821" t="s">
        <v>881</v>
      </c>
      <c r="G606" s="821" t="s">
        <v>882</v>
      </c>
      <c r="H606" s="821" t="s">
        <v>1032</v>
      </c>
      <c r="I606" s="821" t="s">
        <v>1066</v>
      </c>
      <c r="J606" s="821" t="s">
        <v>885</v>
      </c>
      <c r="K606" s="821" t="s">
        <v>886</v>
      </c>
      <c r="L606" s="821" t="s">
        <v>1066</v>
      </c>
      <c r="M606" s="821" t="s">
        <v>1105</v>
      </c>
      <c r="N606" s="821" t="s">
        <v>886</v>
      </c>
      <c r="O606" s="821" t="s">
        <v>886</v>
      </c>
      <c r="P606" s="533">
        <v>513410</v>
      </c>
      <c r="Q606" s="820">
        <v>5134.1000000000004</v>
      </c>
      <c r="R606" t="str">
        <f t="shared" si="14"/>
        <v>201710</v>
      </c>
      <c r="S606" s="405">
        <f>Q606</f>
        <v>5134.1000000000004</v>
      </c>
    </row>
    <row r="607" spans="1:19">
      <c r="A607" s="821" t="s">
        <v>877</v>
      </c>
      <c r="B607" s="821" t="s">
        <v>878</v>
      </c>
      <c r="C607" s="821" t="s">
        <v>879</v>
      </c>
      <c r="D607" s="821" t="s">
        <v>880</v>
      </c>
      <c r="E607" s="821" t="s">
        <v>880</v>
      </c>
      <c r="F607" s="821" t="s">
        <v>881</v>
      </c>
      <c r="G607" s="821" t="s">
        <v>882</v>
      </c>
      <c r="H607" s="821" t="s">
        <v>1032</v>
      </c>
      <c r="I607" s="821" t="s">
        <v>1067</v>
      </c>
      <c r="J607" s="821" t="s">
        <v>885</v>
      </c>
      <c r="K607" s="821" t="s">
        <v>886</v>
      </c>
      <c r="L607" s="821" t="s">
        <v>1067</v>
      </c>
      <c r="M607" s="821" t="s">
        <v>1105</v>
      </c>
      <c r="N607" s="821" t="s">
        <v>886</v>
      </c>
      <c r="O607" s="821" t="s">
        <v>886</v>
      </c>
      <c r="P607" s="533">
        <v>212008</v>
      </c>
      <c r="Q607" s="820">
        <v>2120.08</v>
      </c>
      <c r="R607" t="str">
        <f t="shared" si="14"/>
        <v>201710</v>
      </c>
      <c r="S607" s="405">
        <f>Q607</f>
        <v>2120.08</v>
      </c>
    </row>
    <row r="608" spans="1:19">
      <c r="A608" s="821" t="s">
        <v>877</v>
      </c>
      <c r="B608" s="821" t="s">
        <v>878</v>
      </c>
      <c r="C608" s="821" t="s">
        <v>879</v>
      </c>
      <c r="D608" s="821" t="s">
        <v>880</v>
      </c>
      <c r="E608" s="821" t="s">
        <v>880</v>
      </c>
      <c r="F608" s="821" t="s">
        <v>881</v>
      </c>
      <c r="G608" s="821" t="s">
        <v>882</v>
      </c>
      <c r="H608" s="821" t="s">
        <v>1032</v>
      </c>
      <c r="I608" s="821" t="s">
        <v>1068</v>
      </c>
      <c r="J608" s="821" t="s">
        <v>885</v>
      </c>
      <c r="K608" s="821" t="s">
        <v>886</v>
      </c>
      <c r="L608" s="821" t="s">
        <v>1068</v>
      </c>
      <c r="M608" s="821" t="s">
        <v>1105</v>
      </c>
      <c r="N608" s="821" t="s">
        <v>888</v>
      </c>
      <c r="O608" s="821" t="s">
        <v>886</v>
      </c>
      <c r="P608" s="533">
        <v>1009371</v>
      </c>
      <c r="Q608" s="820">
        <v>-10093.709999999999</v>
      </c>
      <c r="R608" t="str">
        <f t="shared" si="14"/>
        <v>201710</v>
      </c>
      <c r="S608" s="405">
        <f>-Q608</f>
        <v>10093.709999999999</v>
      </c>
    </row>
    <row r="609" spans="1:19">
      <c r="A609" s="821" t="s">
        <v>877</v>
      </c>
      <c r="B609" s="821" t="s">
        <v>878</v>
      </c>
      <c r="C609" s="821" t="s">
        <v>879</v>
      </c>
      <c r="D609" s="821" t="s">
        <v>880</v>
      </c>
      <c r="E609" s="821" t="s">
        <v>880</v>
      </c>
      <c r="F609" s="821" t="s">
        <v>881</v>
      </c>
      <c r="G609" s="821" t="s">
        <v>882</v>
      </c>
      <c r="H609" s="821" t="s">
        <v>1032</v>
      </c>
      <c r="I609" s="821" t="s">
        <v>1068</v>
      </c>
      <c r="J609" s="821" t="s">
        <v>885</v>
      </c>
      <c r="K609" s="821" t="s">
        <v>886</v>
      </c>
      <c r="L609" s="821" t="s">
        <v>1068</v>
      </c>
      <c r="M609" s="821" t="s">
        <v>1105</v>
      </c>
      <c r="N609" s="821" t="s">
        <v>888</v>
      </c>
      <c r="O609" s="821" t="s">
        <v>886</v>
      </c>
      <c r="P609" s="533">
        <v>80997049</v>
      </c>
      <c r="Q609" s="794">
        <v>-809970.49</v>
      </c>
      <c r="R609" t="str">
        <f t="shared" si="14"/>
        <v>201710</v>
      </c>
      <c r="S609" s="405">
        <f>-Q609</f>
        <v>809970.49</v>
      </c>
    </row>
    <row r="610" spans="1:19">
      <c r="A610" s="821" t="s">
        <v>877</v>
      </c>
      <c r="B610" s="821" t="s">
        <v>878</v>
      </c>
      <c r="C610" s="821" t="s">
        <v>879</v>
      </c>
      <c r="D610" s="821" t="s">
        <v>880</v>
      </c>
      <c r="E610" s="821" t="s">
        <v>880</v>
      </c>
      <c r="F610" s="821" t="s">
        <v>881</v>
      </c>
      <c r="G610" s="821" t="s">
        <v>882</v>
      </c>
      <c r="H610" s="821" t="s">
        <v>1032</v>
      </c>
      <c r="I610" s="821" t="s">
        <v>1068</v>
      </c>
      <c r="J610" s="821" t="s">
        <v>885</v>
      </c>
      <c r="K610" s="821" t="s">
        <v>886</v>
      </c>
      <c r="L610" s="821" t="s">
        <v>1068</v>
      </c>
      <c r="M610" s="821" t="s">
        <v>1105</v>
      </c>
      <c r="N610" s="821" t="s">
        <v>888</v>
      </c>
      <c r="O610" s="821" t="s">
        <v>886</v>
      </c>
      <c r="P610" s="533">
        <v>15184817</v>
      </c>
      <c r="Q610" s="794">
        <v>-151848.17000000001</v>
      </c>
      <c r="R610" t="str">
        <f t="shared" si="14"/>
        <v>201710</v>
      </c>
      <c r="S610" s="405">
        <f>-Q610</f>
        <v>151848.17000000001</v>
      </c>
    </row>
    <row r="611" spans="1:19">
      <c r="A611" s="821" t="s">
        <v>877</v>
      </c>
      <c r="B611" s="821" t="s">
        <v>878</v>
      </c>
      <c r="C611" s="821" t="s">
        <v>879</v>
      </c>
      <c r="D611" s="821" t="s">
        <v>880</v>
      </c>
      <c r="E611" s="821" t="s">
        <v>880</v>
      </c>
      <c r="F611" s="821" t="s">
        <v>881</v>
      </c>
      <c r="G611" s="821" t="s">
        <v>882</v>
      </c>
      <c r="H611" s="821" t="s">
        <v>1032</v>
      </c>
      <c r="I611" s="821" t="s">
        <v>1069</v>
      </c>
      <c r="J611" s="821" t="s">
        <v>885</v>
      </c>
      <c r="K611" s="821" t="s">
        <v>886</v>
      </c>
      <c r="L611" s="821" t="s">
        <v>1069</v>
      </c>
      <c r="M611" s="821" t="s">
        <v>1105</v>
      </c>
      <c r="N611" s="821" t="s">
        <v>886</v>
      </c>
      <c r="O611" s="821" t="s">
        <v>886</v>
      </c>
      <c r="P611" s="533">
        <v>72940</v>
      </c>
      <c r="Q611" s="820">
        <v>729.4</v>
      </c>
      <c r="R611" t="str">
        <f t="shared" si="14"/>
        <v>201710</v>
      </c>
      <c r="S611" s="405">
        <f>Q611</f>
        <v>729.4</v>
      </c>
    </row>
    <row r="612" spans="1:19">
      <c r="A612" s="821" t="s">
        <v>877</v>
      </c>
      <c r="B612" s="821" t="s">
        <v>878</v>
      </c>
      <c r="C612" s="821" t="s">
        <v>879</v>
      </c>
      <c r="D612" s="821" t="s">
        <v>880</v>
      </c>
      <c r="E612" s="821" t="s">
        <v>880</v>
      </c>
      <c r="F612" s="821" t="s">
        <v>881</v>
      </c>
      <c r="G612" s="821" t="s">
        <v>882</v>
      </c>
      <c r="H612" s="821" t="s">
        <v>1032</v>
      </c>
      <c r="I612" s="821" t="s">
        <v>1070</v>
      </c>
      <c r="J612" s="821" t="s">
        <v>885</v>
      </c>
      <c r="K612" s="821" t="s">
        <v>886</v>
      </c>
      <c r="L612" s="821" t="s">
        <v>1070</v>
      </c>
      <c r="M612" s="821" t="s">
        <v>1105</v>
      </c>
      <c r="N612" s="821" t="s">
        <v>888</v>
      </c>
      <c r="O612" s="821" t="s">
        <v>886</v>
      </c>
      <c r="P612" s="533">
        <v>1773394</v>
      </c>
      <c r="Q612" s="820">
        <v>-17733.939999999999</v>
      </c>
      <c r="R612" t="str">
        <f t="shared" si="14"/>
        <v>201710</v>
      </c>
      <c r="S612" s="405">
        <f>-Q612</f>
        <v>17733.939999999999</v>
      </c>
    </row>
    <row r="613" spans="1:19">
      <c r="A613" s="821" t="s">
        <v>877</v>
      </c>
      <c r="B613" s="821" t="s">
        <v>878</v>
      </c>
      <c r="C613" s="821" t="s">
        <v>879</v>
      </c>
      <c r="D613" s="821" t="s">
        <v>880</v>
      </c>
      <c r="E613" s="821" t="s">
        <v>880</v>
      </c>
      <c r="F613" s="821" t="s">
        <v>881</v>
      </c>
      <c r="G613" s="821" t="s">
        <v>882</v>
      </c>
      <c r="H613" s="821" t="s">
        <v>1032</v>
      </c>
      <c r="I613" s="821" t="s">
        <v>1070</v>
      </c>
      <c r="J613" s="821" t="s">
        <v>885</v>
      </c>
      <c r="K613" s="821" t="s">
        <v>886</v>
      </c>
      <c r="L613" s="821" t="s">
        <v>1070</v>
      </c>
      <c r="M613" s="821" t="s">
        <v>1105</v>
      </c>
      <c r="N613" s="821" t="s">
        <v>888</v>
      </c>
      <c r="O613" s="821" t="s">
        <v>886</v>
      </c>
      <c r="P613" s="533">
        <v>34843143</v>
      </c>
      <c r="Q613" s="794">
        <v>-348431.43</v>
      </c>
      <c r="R613" t="str">
        <f t="shared" si="14"/>
        <v>201710</v>
      </c>
      <c r="S613" s="405">
        <f>-Q613</f>
        <v>348431.43</v>
      </c>
    </row>
    <row r="614" spans="1:19">
      <c r="A614" s="821" t="s">
        <v>877</v>
      </c>
      <c r="B614" s="821" t="s">
        <v>878</v>
      </c>
      <c r="C614" s="821" t="s">
        <v>879</v>
      </c>
      <c r="D614" s="821" t="s">
        <v>880</v>
      </c>
      <c r="E614" s="821" t="s">
        <v>880</v>
      </c>
      <c r="F614" s="821" t="s">
        <v>881</v>
      </c>
      <c r="G614" s="821" t="s">
        <v>882</v>
      </c>
      <c r="H614" s="821" t="s">
        <v>1032</v>
      </c>
      <c r="I614" s="821" t="s">
        <v>1071</v>
      </c>
      <c r="J614" s="821" t="s">
        <v>885</v>
      </c>
      <c r="K614" s="821" t="s">
        <v>886</v>
      </c>
      <c r="L614" s="821" t="s">
        <v>1071</v>
      </c>
      <c r="M614" s="821" t="s">
        <v>1105</v>
      </c>
      <c r="N614" s="821" t="s">
        <v>886</v>
      </c>
      <c r="O614" s="821" t="s">
        <v>886</v>
      </c>
      <c r="P614" s="533">
        <v>1256155</v>
      </c>
      <c r="Q614" s="820">
        <v>12561.55</v>
      </c>
      <c r="R614" t="str">
        <f t="shared" si="14"/>
        <v>201710</v>
      </c>
      <c r="S614" s="405">
        <f>Q614</f>
        <v>12561.55</v>
      </c>
    </row>
    <row r="615" spans="1:19">
      <c r="A615" s="821" t="s">
        <v>877</v>
      </c>
      <c r="B615" s="821" t="s">
        <v>878</v>
      </c>
      <c r="C615" s="821" t="s">
        <v>879</v>
      </c>
      <c r="D615" s="821" t="s">
        <v>880</v>
      </c>
      <c r="E615" s="821" t="s">
        <v>880</v>
      </c>
      <c r="F615" s="821" t="s">
        <v>881</v>
      </c>
      <c r="G615" s="821" t="s">
        <v>882</v>
      </c>
      <c r="H615" s="821" t="s">
        <v>1032</v>
      </c>
      <c r="I615" s="821" t="s">
        <v>1071</v>
      </c>
      <c r="J615" s="821" t="s">
        <v>885</v>
      </c>
      <c r="K615" s="821" t="s">
        <v>886</v>
      </c>
      <c r="L615" s="821" t="s">
        <v>1071</v>
      </c>
      <c r="M615" s="821" t="s">
        <v>1105</v>
      </c>
      <c r="N615" s="821" t="s">
        <v>886</v>
      </c>
      <c r="O615" s="821" t="s">
        <v>886</v>
      </c>
      <c r="P615" s="533">
        <v>30000000</v>
      </c>
      <c r="Q615" s="794">
        <v>300000</v>
      </c>
      <c r="R615" t="str">
        <f t="shared" si="14"/>
        <v>201710</v>
      </c>
      <c r="S615" s="405">
        <f>Q615</f>
        <v>300000</v>
      </c>
    </row>
    <row r="616" spans="1:19">
      <c r="A616" s="821" t="s">
        <v>877</v>
      </c>
      <c r="B616" s="821" t="s">
        <v>878</v>
      </c>
      <c r="C616" s="821" t="s">
        <v>879</v>
      </c>
      <c r="D616" s="821" t="s">
        <v>880</v>
      </c>
      <c r="E616" s="821" t="s">
        <v>880</v>
      </c>
      <c r="F616" s="821" t="s">
        <v>881</v>
      </c>
      <c r="G616" s="821" t="s">
        <v>882</v>
      </c>
      <c r="H616" s="821" t="s">
        <v>1032</v>
      </c>
      <c r="I616" s="821" t="s">
        <v>1072</v>
      </c>
      <c r="J616" s="821" t="s">
        <v>885</v>
      </c>
      <c r="K616" s="821" t="s">
        <v>886</v>
      </c>
      <c r="L616" s="821" t="s">
        <v>1072</v>
      </c>
      <c r="M616" s="821" t="s">
        <v>1105</v>
      </c>
      <c r="N616" s="821" t="s">
        <v>886</v>
      </c>
      <c r="O616" s="821" t="s">
        <v>886</v>
      </c>
      <c r="P616" s="533">
        <v>770205</v>
      </c>
      <c r="Q616" s="820">
        <v>7702.05</v>
      </c>
      <c r="R616" t="str">
        <f t="shared" si="14"/>
        <v>201710</v>
      </c>
      <c r="S616" s="405">
        <f>Q616</f>
        <v>7702.05</v>
      </c>
    </row>
    <row r="617" spans="1:19">
      <c r="A617" s="821" t="s">
        <v>877</v>
      </c>
      <c r="B617" s="821" t="s">
        <v>878</v>
      </c>
      <c r="C617" s="821" t="s">
        <v>879</v>
      </c>
      <c r="D617" s="821" t="s">
        <v>880</v>
      </c>
      <c r="E617" s="821" t="s">
        <v>880</v>
      </c>
      <c r="F617" s="821" t="s">
        <v>881</v>
      </c>
      <c r="G617" s="821" t="s">
        <v>882</v>
      </c>
      <c r="H617" s="821" t="s">
        <v>1032</v>
      </c>
      <c r="I617" s="821" t="s">
        <v>1072</v>
      </c>
      <c r="J617" s="821" t="s">
        <v>885</v>
      </c>
      <c r="K617" s="821" t="s">
        <v>886</v>
      </c>
      <c r="L617" s="821" t="s">
        <v>1072</v>
      </c>
      <c r="M617" s="821" t="s">
        <v>1105</v>
      </c>
      <c r="N617" s="821" t="s">
        <v>888</v>
      </c>
      <c r="O617" s="821" t="s">
        <v>886</v>
      </c>
      <c r="P617" s="533">
        <v>557360</v>
      </c>
      <c r="Q617" s="820">
        <v>-5573.6</v>
      </c>
      <c r="R617" t="str">
        <f t="shared" si="14"/>
        <v>201710</v>
      </c>
      <c r="S617" s="405">
        <f>-Q617</f>
        <v>5573.6</v>
      </c>
    </row>
    <row r="618" spans="1:19">
      <c r="A618" s="821" t="s">
        <v>877</v>
      </c>
      <c r="B618" s="821" t="s">
        <v>878</v>
      </c>
      <c r="C618" s="821" t="s">
        <v>879</v>
      </c>
      <c r="D618" s="821" t="s">
        <v>880</v>
      </c>
      <c r="E618" s="821" t="s">
        <v>880</v>
      </c>
      <c r="F618" s="821" t="s">
        <v>881</v>
      </c>
      <c r="G618" s="821" t="s">
        <v>882</v>
      </c>
      <c r="H618" s="821" t="s">
        <v>1032</v>
      </c>
      <c r="I618" s="821" t="s">
        <v>1073</v>
      </c>
      <c r="J618" s="821" t="s">
        <v>885</v>
      </c>
      <c r="K618" s="821" t="s">
        <v>886</v>
      </c>
      <c r="L618" s="821" t="s">
        <v>1073</v>
      </c>
      <c r="M618" s="821" t="s">
        <v>1105</v>
      </c>
      <c r="N618" s="821" t="s">
        <v>886</v>
      </c>
      <c r="O618" s="821" t="s">
        <v>886</v>
      </c>
      <c r="P618" s="533">
        <v>140899</v>
      </c>
      <c r="Q618" s="820">
        <v>1408.99</v>
      </c>
      <c r="R618" t="str">
        <f t="shared" si="14"/>
        <v>201711</v>
      </c>
      <c r="S618" s="405">
        <f>Q618</f>
        <v>1408.99</v>
      </c>
    </row>
    <row r="619" spans="1:19">
      <c r="A619" s="821" t="s">
        <v>877</v>
      </c>
      <c r="B619" s="821" t="s">
        <v>878</v>
      </c>
      <c r="C619" s="821" t="s">
        <v>879</v>
      </c>
      <c r="D619" s="821" t="s">
        <v>880</v>
      </c>
      <c r="E619" s="821" t="s">
        <v>880</v>
      </c>
      <c r="F619" s="821" t="s">
        <v>881</v>
      </c>
      <c r="G619" s="821" t="s">
        <v>882</v>
      </c>
      <c r="H619" s="821" t="s">
        <v>1032</v>
      </c>
      <c r="I619" s="821" t="s">
        <v>1073</v>
      </c>
      <c r="J619" s="821" t="s">
        <v>885</v>
      </c>
      <c r="K619" s="821" t="s">
        <v>886</v>
      </c>
      <c r="L619" s="821" t="s">
        <v>1073</v>
      </c>
      <c r="M619" s="821" t="s">
        <v>1105</v>
      </c>
      <c r="N619" s="821" t="s">
        <v>886</v>
      </c>
      <c r="O619" s="821" t="s">
        <v>886</v>
      </c>
      <c r="P619" s="533">
        <v>135000000</v>
      </c>
      <c r="Q619" s="794">
        <v>1350000</v>
      </c>
      <c r="R619" t="str">
        <f t="shared" si="14"/>
        <v>201711</v>
      </c>
      <c r="S619" s="405">
        <f>Q619</f>
        <v>1350000</v>
      </c>
    </row>
    <row r="620" spans="1:19">
      <c r="A620" s="821" t="s">
        <v>877</v>
      </c>
      <c r="B620" s="821" t="s">
        <v>878</v>
      </c>
      <c r="C620" s="821" t="s">
        <v>879</v>
      </c>
      <c r="D620" s="821" t="s">
        <v>880</v>
      </c>
      <c r="E620" s="821" t="s">
        <v>880</v>
      </c>
      <c r="F620" s="821" t="s">
        <v>881</v>
      </c>
      <c r="G620" s="821" t="s">
        <v>882</v>
      </c>
      <c r="H620" s="821" t="s">
        <v>1032</v>
      </c>
      <c r="I620" s="821" t="s">
        <v>1073</v>
      </c>
      <c r="J620" s="821" t="s">
        <v>885</v>
      </c>
      <c r="K620" s="821" t="s">
        <v>886</v>
      </c>
      <c r="L620" s="821" t="s">
        <v>1073</v>
      </c>
      <c r="M620" s="821" t="s">
        <v>1105</v>
      </c>
      <c r="N620" s="821" t="s">
        <v>888</v>
      </c>
      <c r="O620" s="821" t="s">
        <v>886</v>
      </c>
      <c r="P620" s="533">
        <v>139885369</v>
      </c>
      <c r="Q620" s="794">
        <v>-1398853.69</v>
      </c>
      <c r="R620" t="str">
        <f t="shared" si="14"/>
        <v>201711</v>
      </c>
      <c r="S620" s="405">
        <f>-Q620</f>
        <v>1398853.69</v>
      </c>
    </row>
    <row r="621" spans="1:19">
      <c r="A621" s="821" t="s">
        <v>877</v>
      </c>
      <c r="B621" s="821" t="s">
        <v>878</v>
      </c>
      <c r="C621" s="821" t="s">
        <v>879</v>
      </c>
      <c r="D621" s="821" t="s">
        <v>880</v>
      </c>
      <c r="E621" s="821" t="s">
        <v>880</v>
      </c>
      <c r="F621" s="821" t="s">
        <v>881</v>
      </c>
      <c r="G621" s="821" t="s">
        <v>882</v>
      </c>
      <c r="H621" s="821" t="s">
        <v>1032</v>
      </c>
      <c r="I621" s="821" t="s">
        <v>1074</v>
      </c>
      <c r="J621" s="821" t="s">
        <v>885</v>
      </c>
      <c r="K621" s="821" t="s">
        <v>886</v>
      </c>
      <c r="L621" s="821" t="s">
        <v>1074</v>
      </c>
      <c r="M621" s="821" t="s">
        <v>1105</v>
      </c>
      <c r="N621" s="821" t="s">
        <v>886</v>
      </c>
      <c r="O621" s="821" t="s">
        <v>886</v>
      </c>
      <c r="P621" s="533">
        <v>92644</v>
      </c>
      <c r="Q621" s="820">
        <v>926.44</v>
      </c>
      <c r="R621" t="str">
        <f t="shared" si="14"/>
        <v>201711</v>
      </c>
      <c r="S621" s="405">
        <f>Q621</f>
        <v>926.44</v>
      </c>
    </row>
    <row r="622" spans="1:19">
      <c r="A622" s="821" t="s">
        <v>877</v>
      </c>
      <c r="B622" s="821" t="s">
        <v>878</v>
      </c>
      <c r="C622" s="821" t="s">
        <v>879</v>
      </c>
      <c r="D622" s="821" t="s">
        <v>880</v>
      </c>
      <c r="E622" s="821" t="s">
        <v>880</v>
      </c>
      <c r="F622" s="821" t="s">
        <v>881</v>
      </c>
      <c r="G622" s="821" t="s">
        <v>882</v>
      </c>
      <c r="H622" s="821" t="s">
        <v>1032</v>
      </c>
      <c r="I622" s="821" t="s">
        <v>1074</v>
      </c>
      <c r="J622" s="821" t="s">
        <v>885</v>
      </c>
      <c r="K622" s="821" t="s">
        <v>886</v>
      </c>
      <c r="L622" s="821" t="s">
        <v>1074</v>
      </c>
      <c r="M622" s="821" t="s">
        <v>1105</v>
      </c>
      <c r="N622" s="821" t="s">
        <v>886</v>
      </c>
      <c r="O622" s="821" t="s">
        <v>886</v>
      </c>
      <c r="P622" s="533">
        <v>10000000</v>
      </c>
      <c r="Q622" s="794">
        <v>100000</v>
      </c>
      <c r="R622" t="str">
        <f t="shared" si="14"/>
        <v>201711</v>
      </c>
      <c r="S622" s="405">
        <f>Q622</f>
        <v>100000</v>
      </c>
    </row>
    <row r="623" spans="1:19">
      <c r="A623" s="821" t="s">
        <v>877</v>
      </c>
      <c r="B623" s="821" t="s">
        <v>878</v>
      </c>
      <c r="C623" s="821" t="s">
        <v>879</v>
      </c>
      <c r="D623" s="821" t="s">
        <v>880</v>
      </c>
      <c r="E623" s="821" t="s">
        <v>880</v>
      </c>
      <c r="F623" s="821" t="s">
        <v>881</v>
      </c>
      <c r="G623" s="821" t="s">
        <v>882</v>
      </c>
      <c r="H623" s="821" t="s">
        <v>1032</v>
      </c>
      <c r="I623" s="821" t="s">
        <v>1074</v>
      </c>
      <c r="J623" s="821" t="s">
        <v>885</v>
      </c>
      <c r="K623" s="821" t="s">
        <v>886</v>
      </c>
      <c r="L623" s="821" t="s">
        <v>1074</v>
      </c>
      <c r="M623" s="821" t="s">
        <v>1105</v>
      </c>
      <c r="N623" s="821" t="s">
        <v>888</v>
      </c>
      <c r="O623" s="821" t="s">
        <v>886</v>
      </c>
      <c r="P623" s="533">
        <v>203557</v>
      </c>
      <c r="Q623" s="820">
        <v>-2035.57</v>
      </c>
      <c r="R623" t="str">
        <f t="shared" si="14"/>
        <v>201711</v>
      </c>
      <c r="S623" s="405">
        <f>-Q623</f>
        <v>2035.57</v>
      </c>
    </row>
    <row r="624" spans="1:19">
      <c r="A624" s="821" t="s">
        <v>877</v>
      </c>
      <c r="B624" s="821" t="s">
        <v>878</v>
      </c>
      <c r="C624" s="821" t="s">
        <v>879</v>
      </c>
      <c r="D624" s="821" t="s">
        <v>880</v>
      </c>
      <c r="E624" s="821" t="s">
        <v>880</v>
      </c>
      <c r="F624" s="821" t="s">
        <v>881</v>
      </c>
      <c r="G624" s="821" t="s">
        <v>882</v>
      </c>
      <c r="H624" s="821" t="s">
        <v>1032</v>
      </c>
      <c r="I624" s="821" t="s">
        <v>1075</v>
      </c>
      <c r="J624" s="821" t="s">
        <v>885</v>
      </c>
      <c r="K624" s="821" t="s">
        <v>886</v>
      </c>
      <c r="L624" s="821" t="s">
        <v>1075</v>
      </c>
      <c r="M624" s="821" t="s">
        <v>1105</v>
      </c>
      <c r="N624" s="821" t="s">
        <v>888</v>
      </c>
      <c r="O624" s="821" t="s">
        <v>886</v>
      </c>
      <c r="P624" s="533">
        <v>111791</v>
      </c>
      <c r="Q624" s="820">
        <v>-1117.9100000000001</v>
      </c>
      <c r="R624" t="str">
        <f t="shared" si="14"/>
        <v>201711</v>
      </c>
      <c r="S624" s="405">
        <f>-Q624</f>
        <v>1117.9100000000001</v>
      </c>
    </row>
    <row r="625" spans="1:19">
      <c r="A625" s="821" t="s">
        <v>877</v>
      </c>
      <c r="B625" s="821" t="s">
        <v>878</v>
      </c>
      <c r="C625" s="821" t="s">
        <v>879</v>
      </c>
      <c r="D625" s="821" t="s">
        <v>880</v>
      </c>
      <c r="E625" s="821" t="s">
        <v>880</v>
      </c>
      <c r="F625" s="821" t="s">
        <v>881</v>
      </c>
      <c r="G625" s="821" t="s">
        <v>882</v>
      </c>
      <c r="H625" s="821" t="s">
        <v>1032</v>
      </c>
      <c r="I625" s="821" t="s">
        <v>1076</v>
      </c>
      <c r="J625" s="821" t="s">
        <v>885</v>
      </c>
      <c r="K625" s="821" t="s">
        <v>886</v>
      </c>
      <c r="L625" s="821" t="s">
        <v>1076</v>
      </c>
      <c r="M625" s="821" t="s">
        <v>1105</v>
      </c>
      <c r="N625" s="821" t="s">
        <v>886</v>
      </c>
      <c r="O625" s="821" t="s">
        <v>886</v>
      </c>
      <c r="P625" s="533">
        <v>8349</v>
      </c>
      <c r="Q625" s="820">
        <v>83.49</v>
      </c>
      <c r="R625" t="str">
        <f t="shared" si="14"/>
        <v>201711</v>
      </c>
      <c r="S625" s="405">
        <f t="shared" ref="S625:S630" si="15">Q625</f>
        <v>83.49</v>
      </c>
    </row>
    <row r="626" spans="1:19">
      <c r="A626" s="821" t="s">
        <v>877</v>
      </c>
      <c r="B626" s="821" t="s">
        <v>878</v>
      </c>
      <c r="C626" s="821" t="s">
        <v>879</v>
      </c>
      <c r="D626" s="821" t="s">
        <v>880</v>
      </c>
      <c r="E626" s="821" t="s">
        <v>880</v>
      </c>
      <c r="F626" s="821" t="s">
        <v>881</v>
      </c>
      <c r="G626" s="821" t="s">
        <v>882</v>
      </c>
      <c r="H626" s="821" t="s">
        <v>1032</v>
      </c>
      <c r="I626" s="821" t="s">
        <v>1077</v>
      </c>
      <c r="J626" s="821" t="s">
        <v>885</v>
      </c>
      <c r="K626" s="821" t="s">
        <v>886</v>
      </c>
      <c r="L626" s="821" t="s">
        <v>1077</v>
      </c>
      <c r="M626" s="821" t="s">
        <v>1105</v>
      </c>
      <c r="N626" s="821" t="s">
        <v>886</v>
      </c>
      <c r="O626" s="821" t="s">
        <v>886</v>
      </c>
      <c r="P626" s="533">
        <v>16427</v>
      </c>
      <c r="Q626" s="820">
        <v>164.27</v>
      </c>
      <c r="R626" t="str">
        <f t="shared" si="14"/>
        <v>201711</v>
      </c>
      <c r="S626" s="405">
        <f t="shared" si="15"/>
        <v>164.27</v>
      </c>
    </row>
    <row r="627" spans="1:19">
      <c r="A627" s="821" t="s">
        <v>877</v>
      </c>
      <c r="B627" s="821" t="s">
        <v>878</v>
      </c>
      <c r="C627" s="821" t="s">
        <v>879</v>
      </c>
      <c r="D627" s="821" t="s">
        <v>880</v>
      </c>
      <c r="E627" s="821" t="s">
        <v>880</v>
      </c>
      <c r="F627" s="821" t="s">
        <v>881</v>
      </c>
      <c r="G627" s="821" t="s">
        <v>882</v>
      </c>
      <c r="H627" s="821" t="s">
        <v>1032</v>
      </c>
      <c r="I627" s="821" t="s">
        <v>1077</v>
      </c>
      <c r="J627" s="821" t="s">
        <v>885</v>
      </c>
      <c r="K627" s="821" t="s">
        <v>886</v>
      </c>
      <c r="L627" s="821" t="s">
        <v>1077</v>
      </c>
      <c r="M627" s="821" t="s">
        <v>1105</v>
      </c>
      <c r="N627" s="821" t="s">
        <v>886</v>
      </c>
      <c r="O627" s="821" t="s">
        <v>886</v>
      </c>
      <c r="P627" s="533">
        <v>226263</v>
      </c>
      <c r="Q627" s="820">
        <v>2262.63</v>
      </c>
      <c r="R627" t="str">
        <f t="shared" si="14"/>
        <v>201711</v>
      </c>
      <c r="S627" s="405">
        <f t="shared" si="15"/>
        <v>2262.63</v>
      </c>
    </row>
    <row r="628" spans="1:19">
      <c r="A628" s="821" t="s">
        <v>877</v>
      </c>
      <c r="B628" s="821" t="s">
        <v>878</v>
      </c>
      <c r="C628" s="821" t="s">
        <v>879</v>
      </c>
      <c r="D628" s="821" t="s">
        <v>880</v>
      </c>
      <c r="E628" s="821" t="s">
        <v>880</v>
      </c>
      <c r="F628" s="821" t="s">
        <v>881</v>
      </c>
      <c r="G628" s="821" t="s">
        <v>882</v>
      </c>
      <c r="H628" s="821" t="s">
        <v>1032</v>
      </c>
      <c r="I628" s="821" t="s">
        <v>1078</v>
      </c>
      <c r="J628" s="821" t="s">
        <v>885</v>
      </c>
      <c r="K628" s="821" t="s">
        <v>886</v>
      </c>
      <c r="L628" s="821" t="s">
        <v>1078</v>
      </c>
      <c r="M628" s="821" t="s">
        <v>1105</v>
      </c>
      <c r="N628" s="821" t="s">
        <v>886</v>
      </c>
      <c r="O628" s="821" t="s">
        <v>886</v>
      </c>
      <c r="P628" s="533">
        <v>108200000</v>
      </c>
      <c r="Q628" s="794">
        <v>1082000</v>
      </c>
      <c r="R628" t="str">
        <f t="shared" si="14"/>
        <v>201711</v>
      </c>
      <c r="S628" s="405">
        <f t="shared" si="15"/>
        <v>1082000</v>
      </c>
    </row>
    <row r="629" spans="1:19">
      <c r="A629" s="821" t="s">
        <v>877</v>
      </c>
      <c r="B629" s="821" t="s">
        <v>878</v>
      </c>
      <c r="C629" s="821" t="s">
        <v>879</v>
      </c>
      <c r="D629" s="821" t="s">
        <v>880</v>
      </c>
      <c r="E629" s="821" t="s">
        <v>880</v>
      </c>
      <c r="F629" s="821" t="s">
        <v>881</v>
      </c>
      <c r="G629" s="821" t="s">
        <v>882</v>
      </c>
      <c r="H629" s="821" t="s">
        <v>1032</v>
      </c>
      <c r="I629" s="821" t="s">
        <v>1078</v>
      </c>
      <c r="J629" s="821" t="s">
        <v>885</v>
      </c>
      <c r="K629" s="821" t="s">
        <v>886</v>
      </c>
      <c r="L629" s="821" t="s">
        <v>1078</v>
      </c>
      <c r="M629" s="821" t="s">
        <v>1105</v>
      </c>
      <c r="N629" s="821" t="s">
        <v>886</v>
      </c>
      <c r="O629" s="821" t="s">
        <v>886</v>
      </c>
      <c r="P629" s="533">
        <v>30527</v>
      </c>
      <c r="Q629" s="820">
        <v>305.27</v>
      </c>
      <c r="R629" t="str">
        <f t="shared" si="14"/>
        <v>201711</v>
      </c>
      <c r="S629" s="405">
        <f t="shared" si="15"/>
        <v>305.27</v>
      </c>
    </row>
    <row r="630" spans="1:19">
      <c r="A630" s="821" t="s">
        <v>877</v>
      </c>
      <c r="B630" s="821" t="s">
        <v>878</v>
      </c>
      <c r="C630" s="821" t="s">
        <v>879</v>
      </c>
      <c r="D630" s="821" t="s">
        <v>880</v>
      </c>
      <c r="E630" s="821" t="s">
        <v>880</v>
      </c>
      <c r="F630" s="821" t="s">
        <v>881</v>
      </c>
      <c r="G630" s="821" t="s">
        <v>882</v>
      </c>
      <c r="H630" s="821" t="s">
        <v>1032</v>
      </c>
      <c r="I630" s="821" t="s">
        <v>1078</v>
      </c>
      <c r="J630" s="821" t="s">
        <v>885</v>
      </c>
      <c r="K630" s="821" t="s">
        <v>886</v>
      </c>
      <c r="L630" s="821" t="s">
        <v>1078</v>
      </c>
      <c r="M630" s="821" t="s">
        <v>1105</v>
      </c>
      <c r="N630" s="821" t="s">
        <v>886</v>
      </c>
      <c r="O630" s="821" t="s">
        <v>886</v>
      </c>
      <c r="P630" s="533">
        <v>226263</v>
      </c>
      <c r="Q630" s="820">
        <v>2262.63</v>
      </c>
      <c r="R630" t="str">
        <f t="shared" si="14"/>
        <v>201711</v>
      </c>
      <c r="S630" s="405">
        <f t="shared" si="15"/>
        <v>2262.63</v>
      </c>
    </row>
    <row r="631" spans="1:19">
      <c r="A631" s="821" t="s">
        <v>877</v>
      </c>
      <c r="B631" s="821" t="s">
        <v>878</v>
      </c>
      <c r="C631" s="821" t="s">
        <v>879</v>
      </c>
      <c r="D631" s="821" t="s">
        <v>880</v>
      </c>
      <c r="E631" s="821" t="s">
        <v>880</v>
      </c>
      <c r="F631" s="821" t="s">
        <v>881</v>
      </c>
      <c r="G631" s="821" t="s">
        <v>882</v>
      </c>
      <c r="H631" s="821" t="s">
        <v>1032</v>
      </c>
      <c r="I631" s="821" t="s">
        <v>1107</v>
      </c>
      <c r="J631" s="821" t="s">
        <v>885</v>
      </c>
      <c r="K631" s="821" t="s">
        <v>886</v>
      </c>
      <c r="L631" s="821" t="s">
        <v>1107</v>
      </c>
      <c r="M631" s="821" t="s">
        <v>1105</v>
      </c>
      <c r="N631" s="821" t="s">
        <v>888</v>
      </c>
      <c r="O631" s="821" t="s">
        <v>886</v>
      </c>
      <c r="P631" s="533">
        <v>10029814</v>
      </c>
      <c r="Q631" s="794">
        <v>-100298.14</v>
      </c>
      <c r="R631" t="str">
        <f t="shared" si="14"/>
        <v>201711</v>
      </c>
      <c r="S631" s="405">
        <f>-Q631</f>
        <v>100298.14</v>
      </c>
    </row>
    <row r="632" spans="1:19">
      <c r="A632" s="821" t="s">
        <v>877</v>
      </c>
      <c r="B632" s="821" t="s">
        <v>878</v>
      </c>
      <c r="C632" s="821" t="s">
        <v>879</v>
      </c>
      <c r="D632" s="821" t="s">
        <v>880</v>
      </c>
      <c r="E632" s="821" t="s">
        <v>880</v>
      </c>
      <c r="F632" s="821" t="s">
        <v>881</v>
      </c>
      <c r="G632" s="821" t="s">
        <v>882</v>
      </c>
      <c r="H632" s="821" t="s">
        <v>1032</v>
      </c>
      <c r="I632" s="821" t="s">
        <v>1079</v>
      </c>
      <c r="J632" s="821" t="s">
        <v>885</v>
      </c>
      <c r="K632" s="821" t="s">
        <v>886</v>
      </c>
      <c r="L632" s="821" t="s">
        <v>1079</v>
      </c>
      <c r="M632" s="821" t="s">
        <v>1105</v>
      </c>
      <c r="N632" s="821" t="s">
        <v>886</v>
      </c>
      <c r="O632" s="821" t="s">
        <v>886</v>
      </c>
      <c r="P632" s="533">
        <v>50000000</v>
      </c>
      <c r="Q632" s="794">
        <v>500000</v>
      </c>
      <c r="R632" t="str">
        <f t="shared" si="14"/>
        <v>201711</v>
      </c>
      <c r="S632" s="405">
        <f>Q632</f>
        <v>500000</v>
      </c>
    </row>
    <row r="633" spans="1:19">
      <c r="A633" s="821" t="s">
        <v>877</v>
      </c>
      <c r="B633" s="821" t="s">
        <v>878</v>
      </c>
      <c r="C633" s="821" t="s">
        <v>879</v>
      </c>
      <c r="D633" s="821" t="s">
        <v>880</v>
      </c>
      <c r="E633" s="821" t="s">
        <v>880</v>
      </c>
      <c r="F633" s="821" t="s">
        <v>881</v>
      </c>
      <c r="G633" s="821" t="s">
        <v>882</v>
      </c>
      <c r="H633" s="821" t="s">
        <v>1032</v>
      </c>
      <c r="I633" s="821" t="s">
        <v>1079</v>
      </c>
      <c r="J633" s="821" t="s">
        <v>885</v>
      </c>
      <c r="K633" s="821" t="s">
        <v>886</v>
      </c>
      <c r="L633" s="821" t="s">
        <v>1079</v>
      </c>
      <c r="M633" s="821" t="s">
        <v>1105</v>
      </c>
      <c r="N633" s="821" t="s">
        <v>888</v>
      </c>
      <c r="O633" s="821" t="s">
        <v>886</v>
      </c>
      <c r="P633" s="533">
        <v>74542843</v>
      </c>
      <c r="Q633" s="794">
        <v>-745428.43</v>
      </c>
      <c r="R633" t="str">
        <f t="shared" si="14"/>
        <v>201711</v>
      </c>
      <c r="S633" s="405">
        <f>-Q633</f>
        <v>745428.43</v>
      </c>
    </row>
    <row r="634" spans="1:19">
      <c r="A634" s="821" t="s">
        <v>877</v>
      </c>
      <c r="B634" s="821" t="s">
        <v>878</v>
      </c>
      <c r="C634" s="821" t="s">
        <v>879</v>
      </c>
      <c r="D634" s="821" t="s">
        <v>880</v>
      </c>
      <c r="E634" s="821" t="s">
        <v>880</v>
      </c>
      <c r="F634" s="821" t="s">
        <v>881</v>
      </c>
      <c r="G634" s="821" t="s">
        <v>882</v>
      </c>
      <c r="H634" s="821" t="s">
        <v>1032</v>
      </c>
      <c r="I634" s="821" t="s">
        <v>1079</v>
      </c>
      <c r="J634" s="821" t="s">
        <v>885</v>
      </c>
      <c r="K634" s="821" t="s">
        <v>886</v>
      </c>
      <c r="L634" s="821" t="s">
        <v>1079</v>
      </c>
      <c r="M634" s="821" t="s">
        <v>1105</v>
      </c>
      <c r="N634" s="821" t="s">
        <v>888</v>
      </c>
      <c r="O634" s="821" t="s">
        <v>886</v>
      </c>
      <c r="P634" s="533">
        <v>545557</v>
      </c>
      <c r="Q634" s="820">
        <v>-5455.57</v>
      </c>
      <c r="R634" t="str">
        <f t="shared" si="14"/>
        <v>201711</v>
      </c>
      <c r="S634" s="405">
        <f>-Q634</f>
        <v>5455.57</v>
      </c>
    </row>
    <row r="635" spans="1:19">
      <c r="A635" s="821" t="s">
        <v>877</v>
      </c>
      <c r="B635" s="821" t="s">
        <v>878</v>
      </c>
      <c r="C635" s="821" t="s">
        <v>879</v>
      </c>
      <c r="D635" s="821" t="s">
        <v>880</v>
      </c>
      <c r="E635" s="821" t="s">
        <v>880</v>
      </c>
      <c r="F635" s="821" t="s">
        <v>881</v>
      </c>
      <c r="G635" s="821" t="s">
        <v>882</v>
      </c>
      <c r="H635" s="821" t="s">
        <v>1032</v>
      </c>
      <c r="I635" s="821" t="s">
        <v>1079</v>
      </c>
      <c r="J635" s="821" t="s">
        <v>885</v>
      </c>
      <c r="K635" s="821" t="s">
        <v>886</v>
      </c>
      <c r="L635" s="821" t="s">
        <v>1079</v>
      </c>
      <c r="M635" s="821" t="s">
        <v>1105</v>
      </c>
      <c r="N635" s="821" t="s">
        <v>886</v>
      </c>
      <c r="O635" s="821" t="s">
        <v>886</v>
      </c>
      <c r="P635" s="533">
        <v>169662</v>
      </c>
      <c r="Q635" s="820">
        <v>1696.62</v>
      </c>
      <c r="R635" t="str">
        <f t="shared" si="14"/>
        <v>201711</v>
      </c>
      <c r="S635" s="405">
        <f>Q635</f>
        <v>1696.62</v>
      </c>
    </row>
    <row r="636" spans="1:19">
      <c r="A636" s="821" t="s">
        <v>877</v>
      </c>
      <c r="B636" s="821" t="s">
        <v>878</v>
      </c>
      <c r="C636" s="821" t="s">
        <v>879</v>
      </c>
      <c r="D636" s="821" t="s">
        <v>880</v>
      </c>
      <c r="E636" s="821" t="s">
        <v>880</v>
      </c>
      <c r="F636" s="821" t="s">
        <v>881</v>
      </c>
      <c r="G636" s="821" t="s">
        <v>882</v>
      </c>
      <c r="H636" s="821" t="s">
        <v>1032</v>
      </c>
      <c r="I636" s="821" t="s">
        <v>1080</v>
      </c>
      <c r="J636" s="821" t="s">
        <v>885</v>
      </c>
      <c r="K636" s="821" t="s">
        <v>886</v>
      </c>
      <c r="L636" s="821" t="s">
        <v>1080</v>
      </c>
      <c r="M636" s="821" t="s">
        <v>1105</v>
      </c>
      <c r="N636" s="821" t="s">
        <v>888</v>
      </c>
      <c r="O636" s="821" t="s">
        <v>886</v>
      </c>
      <c r="P636" s="533">
        <v>14904840</v>
      </c>
      <c r="Q636" s="794">
        <v>-149048.4</v>
      </c>
      <c r="R636" t="str">
        <f t="shared" si="14"/>
        <v>201711</v>
      </c>
      <c r="S636" s="405">
        <f>-Q636</f>
        <v>149048.4</v>
      </c>
    </row>
    <row r="637" spans="1:19">
      <c r="A637" s="821" t="s">
        <v>877</v>
      </c>
      <c r="B637" s="821" t="s">
        <v>878</v>
      </c>
      <c r="C637" s="821" t="s">
        <v>879</v>
      </c>
      <c r="D637" s="821" t="s">
        <v>880</v>
      </c>
      <c r="E637" s="821" t="s">
        <v>880</v>
      </c>
      <c r="F637" s="821" t="s">
        <v>881</v>
      </c>
      <c r="G637" s="821" t="s">
        <v>882</v>
      </c>
      <c r="H637" s="821" t="s">
        <v>883</v>
      </c>
      <c r="I637" s="821" t="s">
        <v>1080</v>
      </c>
      <c r="J637" s="821" t="s">
        <v>885</v>
      </c>
      <c r="K637" s="821" t="s">
        <v>886</v>
      </c>
      <c r="L637" s="821" t="s">
        <v>1080</v>
      </c>
      <c r="M637" s="821" t="s">
        <v>1105</v>
      </c>
      <c r="N637" s="821" t="s">
        <v>886</v>
      </c>
      <c r="O637" s="821" t="s">
        <v>886</v>
      </c>
      <c r="P637" s="533">
        <v>2216074</v>
      </c>
      <c r="Q637" s="820">
        <v>22160.74</v>
      </c>
      <c r="R637" t="str">
        <f t="shared" si="14"/>
        <v>201711</v>
      </c>
      <c r="S637" s="405">
        <f>Q637</f>
        <v>22160.74</v>
      </c>
    </row>
    <row r="638" spans="1:19">
      <c r="A638" s="821" t="s">
        <v>877</v>
      </c>
      <c r="B638" s="821" t="s">
        <v>878</v>
      </c>
      <c r="C638" s="821" t="s">
        <v>879</v>
      </c>
      <c r="D638" s="821" t="s">
        <v>880</v>
      </c>
      <c r="E638" s="821" t="s">
        <v>880</v>
      </c>
      <c r="F638" s="821" t="s">
        <v>881</v>
      </c>
      <c r="G638" s="821" t="s">
        <v>882</v>
      </c>
      <c r="H638" s="821" t="s">
        <v>1032</v>
      </c>
      <c r="I638" s="821" t="s">
        <v>1080</v>
      </c>
      <c r="J638" s="821" t="s">
        <v>885</v>
      </c>
      <c r="K638" s="821" t="s">
        <v>886</v>
      </c>
      <c r="L638" s="821" t="s">
        <v>1080</v>
      </c>
      <c r="M638" s="821" t="s">
        <v>1105</v>
      </c>
      <c r="N638" s="821" t="s">
        <v>886</v>
      </c>
      <c r="O638" s="821" t="s">
        <v>886</v>
      </c>
      <c r="P638" s="533">
        <v>199270</v>
      </c>
      <c r="Q638" s="820">
        <v>1992.7</v>
      </c>
      <c r="R638" t="str">
        <f t="shared" si="14"/>
        <v>201711</v>
      </c>
      <c r="S638" s="405">
        <f>Q638</f>
        <v>1992.7</v>
      </c>
    </row>
    <row r="639" spans="1:19">
      <c r="A639" s="821" t="s">
        <v>877</v>
      </c>
      <c r="B639" s="821" t="s">
        <v>878</v>
      </c>
      <c r="C639" s="821" t="s">
        <v>879</v>
      </c>
      <c r="D639" s="821" t="s">
        <v>880</v>
      </c>
      <c r="E639" s="821" t="s">
        <v>880</v>
      </c>
      <c r="F639" s="821" t="s">
        <v>881</v>
      </c>
      <c r="G639" s="821" t="s">
        <v>882</v>
      </c>
      <c r="H639" s="821" t="s">
        <v>1032</v>
      </c>
      <c r="I639" s="821" t="s">
        <v>1081</v>
      </c>
      <c r="J639" s="821" t="s">
        <v>885</v>
      </c>
      <c r="K639" s="821" t="s">
        <v>886</v>
      </c>
      <c r="L639" s="821" t="s">
        <v>1081</v>
      </c>
      <c r="M639" s="821" t="s">
        <v>1105</v>
      </c>
      <c r="N639" s="821" t="s">
        <v>888</v>
      </c>
      <c r="O639" s="821" t="s">
        <v>886</v>
      </c>
      <c r="P639" s="533">
        <v>50000000</v>
      </c>
      <c r="Q639" s="823"/>
      <c r="R639" t="str">
        <f t="shared" si="14"/>
        <v>201711</v>
      </c>
      <c r="S639" s="405">
        <f>-Q639</f>
        <v>0</v>
      </c>
    </row>
    <row r="640" spans="1:19">
      <c r="A640" s="821" t="s">
        <v>877</v>
      </c>
      <c r="B640" s="821" t="s">
        <v>878</v>
      </c>
      <c r="C640" s="821" t="s">
        <v>879</v>
      </c>
      <c r="D640" s="821" t="s">
        <v>880</v>
      </c>
      <c r="E640" s="821" t="s">
        <v>880</v>
      </c>
      <c r="F640" s="821" t="s">
        <v>881</v>
      </c>
      <c r="G640" s="821" t="s">
        <v>882</v>
      </c>
      <c r="H640" s="821" t="s">
        <v>1032</v>
      </c>
      <c r="I640" s="821" t="s">
        <v>1081</v>
      </c>
      <c r="J640" s="821" t="s">
        <v>885</v>
      </c>
      <c r="K640" s="821" t="s">
        <v>886</v>
      </c>
      <c r="L640" s="821" t="s">
        <v>1081</v>
      </c>
      <c r="M640" s="821" t="s">
        <v>1105</v>
      </c>
      <c r="N640" s="821" t="s">
        <v>888</v>
      </c>
      <c r="O640" s="821" t="s">
        <v>886</v>
      </c>
      <c r="P640" s="533">
        <v>20049242</v>
      </c>
      <c r="Q640" s="794">
        <v>-200492.42</v>
      </c>
      <c r="R640" t="str">
        <f t="shared" si="14"/>
        <v>201711</v>
      </c>
      <c r="S640" s="405">
        <f>-Q640</f>
        <v>200492.42</v>
      </c>
    </row>
    <row r="641" spans="1:19">
      <c r="A641" s="821" t="s">
        <v>877</v>
      </c>
      <c r="B641" s="821" t="s">
        <v>878</v>
      </c>
      <c r="C641" s="821" t="s">
        <v>879</v>
      </c>
      <c r="D641" s="821" t="s">
        <v>880</v>
      </c>
      <c r="E641" s="821" t="s">
        <v>880</v>
      </c>
      <c r="F641" s="821" t="s">
        <v>881</v>
      </c>
      <c r="G641" s="821" t="s">
        <v>882</v>
      </c>
      <c r="H641" s="821" t="s">
        <v>1032</v>
      </c>
      <c r="I641" s="821" t="s">
        <v>1082</v>
      </c>
      <c r="J641" s="821" t="s">
        <v>885</v>
      </c>
      <c r="K641" s="821" t="s">
        <v>886</v>
      </c>
      <c r="L641" s="821" t="s">
        <v>1082</v>
      </c>
      <c r="M641" s="821" t="s">
        <v>1105</v>
      </c>
      <c r="N641" s="821" t="s">
        <v>886</v>
      </c>
      <c r="O641" s="821" t="s">
        <v>886</v>
      </c>
      <c r="P641" s="533">
        <v>20000000</v>
      </c>
      <c r="Q641" s="794">
        <v>200000</v>
      </c>
      <c r="R641" t="str">
        <f t="shared" si="14"/>
        <v>201711</v>
      </c>
      <c r="S641" s="405">
        <f>Q641</f>
        <v>200000</v>
      </c>
    </row>
    <row r="642" spans="1:19">
      <c r="A642" s="821" t="s">
        <v>877</v>
      </c>
      <c r="B642" s="821" t="s">
        <v>878</v>
      </c>
      <c r="C642" s="821" t="s">
        <v>879</v>
      </c>
      <c r="D642" s="821" t="s">
        <v>880</v>
      </c>
      <c r="E642" s="821" t="s">
        <v>880</v>
      </c>
      <c r="F642" s="821" t="s">
        <v>881</v>
      </c>
      <c r="G642" s="821" t="s">
        <v>882</v>
      </c>
      <c r="H642" s="821" t="s">
        <v>883</v>
      </c>
      <c r="I642" s="821" t="s">
        <v>1082</v>
      </c>
      <c r="J642" s="821" t="s">
        <v>885</v>
      </c>
      <c r="K642" s="821" t="s">
        <v>886</v>
      </c>
      <c r="L642" s="821" t="s">
        <v>1082</v>
      </c>
      <c r="M642" s="821" t="s">
        <v>1105</v>
      </c>
      <c r="N642" s="821" t="s">
        <v>888</v>
      </c>
      <c r="O642" s="821" t="s">
        <v>886</v>
      </c>
      <c r="P642" s="533">
        <v>3645381</v>
      </c>
      <c r="Q642" s="820">
        <v>-36453.81</v>
      </c>
      <c r="R642" t="str">
        <f t="shared" si="14"/>
        <v>201711</v>
      </c>
      <c r="S642" s="405">
        <f>-Q642</f>
        <v>36453.81</v>
      </c>
    </row>
    <row r="643" spans="1:19">
      <c r="A643" s="821" t="s">
        <v>877</v>
      </c>
      <c r="B643" s="821" t="s">
        <v>878</v>
      </c>
      <c r="C643" s="821" t="s">
        <v>879</v>
      </c>
      <c r="D643" s="821" t="s">
        <v>880</v>
      </c>
      <c r="E643" s="821" t="s">
        <v>880</v>
      </c>
      <c r="F643" s="821" t="s">
        <v>881</v>
      </c>
      <c r="G643" s="821" t="s">
        <v>882</v>
      </c>
      <c r="H643" s="821" t="s">
        <v>1032</v>
      </c>
      <c r="I643" s="821" t="s">
        <v>1083</v>
      </c>
      <c r="J643" s="821" t="s">
        <v>885</v>
      </c>
      <c r="K643" s="821" t="s">
        <v>886</v>
      </c>
      <c r="L643" s="821" t="s">
        <v>1083</v>
      </c>
      <c r="M643" s="821" t="s">
        <v>1105</v>
      </c>
      <c r="N643" s="821" t="s">
        <v>888</v>
      </c>
      <c r="O643" s="821" t="s">
        <v>886</v>
      </c>
      <c r="P643" s="533">
        <v>407466</v>
      </c>
      <c r="Q643" s="820">
        <v>-4074.66</v>
      </c>
      <c r="R643" t="str">
        <f t="shared" ref="R643:R704" si="16">MID(L643,1,6)</f>
        <v>201711</v>
      </c>
      <c r="S643" s="405">
        <f>-Q643</f>
        <v>4074.66</v>
      </c>
    </row>
    <row r="644" spans="1:19">
      <c r="A644" s="821" t="s">
        <v>877</v>
      </c>
      <c r="B644" s="821" t="s">
        <v>878</v>
      </c>
      <c r="C644" s="821" t="s">
        <v>879</v>
      </c>
      <c r="D644" s="821" t="s">
        <v>880</v>
      </c>
      <c r="E644" s="821" t="s">
        <v>880</v>
      </c>
      <c r="F644" s="821" t="s">
        <v>881</v>
      </c>
      <c r="G644" s="821" t="s">
        <v>882</v>
      </c>
      <c r="H644" s="821" t="s">
        <v>1032</v>
      </c>
      <c r="I644" s="821" t="s">
        <v>1084</v>
      </c>
      <c r="J644" s="821" t="s">
        <v>885</v>
      </c>
      <c r="K644" s="821" t="s">
        <v>886</v>
      </c>
      <c r="L644" s="821" t="s">
        <v>1084</v>
      </c>
      <c r="M644" s="821" t="s">
        <v>1105</v>
      </c>
      <c r="N644" s="821" t="s">
        <v>886</v>
      </c>
      <c r="O644" s="821" t="s">
        <v>886</v>
      </c>
      <c r="P644" s="533">
        <v>1230765</v>
      </c>
      <c r="Q644" s="820">
        <v>12307.65</v>
      </c>
      <c r="R644" t="str">
        <f t="shared" si="16"/>
        <v>201711</v>
      </c>
      <c r="S644" s="405">
        <f>Q644</f>
        <v>12307.65</v>
      </c>
    </row>
    <row r="645" spans="1:19">
      <c r="A645" s="821" t="s">
        <v>877</v>
      </c>
      <c r="B645" s="821" t="s">
        <v>878</v>
      </c>
      <c r="C645" s="821" t="s">
        <v>879</v>
      </c>
      <c r="D645" s="821" t="s">
        <v>880</v>
      </c>
      <c r="E645" s="821" t="s">
        <v>880</v>
      </c>
      <c r="F645" s="821" t="s">
        <v>881</v>
      </c>
      <c r="G645" s="821" t="s">
        <v>882</v>
      </c>
      <c r="H645" s="821" t="s">
        <v>883</v>
      </c>
      <c r="I645" s="821" t="s">
        <v>1085</v>
      </c>
      <c r="J645" s="821" t="s">
        <v>885</v>
      </c>
      <c r="K645" s="821" t="s">
        <v>886</v>
      </c>
      <c r="L645" s="821" t="s">
        <v>1085</v>
      </c>
      <c r="M645" s="821" t="s">
        <v>1105</v>
      </c>
      <c r="N645" s="821" t="s">
        <v>888</v>
      </c>
      <c r="O645" s="821" t="s">
        <v>886</v>
      </c>
      <c r="P645" s="533">
        <v>2022608</v>
      </c>
      <c r="Q645" s="820">
        <v>-20226.080000000002</v>
      </c>
      <c r="R645" t="str">
        <f t="shared" si="16"/>
        <v>201711</v>
      </c>
      <c r="S645" s="405">
        <f>-Q645</f>
        <v>20226.080000000002</v>
      </c>
    </row>
    <row r="646" spans="1:19">
      <c r="A646" s="821" t="s">
        <v>877</v>
      </c>
      <c r="B646" s="821" t="s">
        <v>878</v>
      </c>
      <c r="C646" s="821" t="s">
        <v>879</v>
      </c>
      <c r="D646" s="821" t="s">
        <v>880</v>
      </c>
      <c r="E646" s="821" t="s">
        <v>880</v>
      </c>
      <c r="F646" s="821" t="s">
        <v>881</v>
      </c>
      <c r="G646" s="821" t="s">
        <v>882</v>
      </c>
      <c r="H646" s="821" t="s">
        <v>1032</v>
      </c>
      <c r="I646" s="821" t="s">
        <v>1086</v>
      </c>
      <c r="J646" s="821" t="s">
        <v>885</v>
      </c>
      <c r="K646" s="821" t="s">
        <v>886</v>
      </c>
      <c r="L646" s="821" t="s">
        <v>1086</v>
      </c>
      <c r="M646" s="821" t="s">
        <v>1105</v>
      </c>
      <c r="N646" s="821" t="s">
        <v>886</v>
      </c>
      <c r="O646" s="821" t="s">
        <v>886</v>
      </c>
      <c r="P646" s="533">
        <v>503867</v>
      </c>
      <c r="Q646" s="820">
        <v>5038.67</v>
      </c>
      <c r="R646" t="str">
        <f t="shared" si="16"/>
        <v>201711</v>
      </c>
      <c r="S646" s="405">
        <f>Q646</f>
        <v>5038.67</v>
      </c>
    </row>
    <row r="647" spans="1:19">
      <c r="A647" s="821" t="s">
        <v>877</v>
      </c>
      <c r="B647" s="821" t="s">
        <v>878</v>
      </c>
      <c r="C647" s="821" t="s">
        <v>879</v>
      </c>
      <c r="D647" s="821" t="s">
        <v>880</v>
      </c>
      <c r="E647" s="821" t="s">
        <v>880</v>
      </c>
      <c r="F647" s="821" t="s">
        <v>881</v>
      </c>
      <c r="G647" s="821" t="s">
        <v>882</v>
      </c>
      <c r="H647" s="821" t="s">
        <v>1032</v>
      </c>
      <c r="I647" s="821" t="s">
        <v>1086</v>
      </c>
      <c r="J647" s="821" t="s">
        <v>885</v>
      </c>
      <c r="K647" s="821" t="s">
        <v>886</v>
      </c>
      <c r="L647" s="821" t="s">
        <v>1086</v>
      </c>
      <c r="M647" s="821" t="s">
        <v>1105</v>
      </c>
      <c r="N647" s="821" t="s">
        <v>886</v>
      </c>
      <c r="O647" s="821" t="s">
        <v>886</v>
      </c>
      <c r="P647" s="533">
        <v>702068</v>
      </c>
      <c r="Q647" s="820">
        <v>7020.68</v>
      </c>
      <c r="R647" t="str">
        <f t="shared" si="16"/>
        <v>201711</v>
      </c>
      <c r="S647" s="405">
        <f>Q647</f>
        <v>7020.68</v>
      </c>
    </row>
    <row r="648" spans="1:19">
      <c r="A648" s="821" t="s">
        <v>877</v>
      </c>
      <c r="B648" s="821" t="s">
        <v>878</v>
      </c>
      <c r="C648" s="821" t="s">
        <v>879</v>
      </c>
      <c r="D648" s="821" t="s">
        <v>880</v>
      </c>
      <c r="E648" s="821" t="s">
        <v>880</v>
      </c>
      <c r="F648" s="821" t="s">
        <v>881</v>
      </c>
      <c r="G648" s="821" t="s">
        <v>882</v>
      </c>
      <c r="H648" s="821" t="s">
        <v>1032</v>
      </c>
      <c r="I648" s="821" t="s">
        <v>1087</v>
      </c>
      <c r="J648" s="821" t="s">
        <v>885</v>
      </c>
      <c r="K648" s="821" t="s">
        <v>886</v>
      </c>
      <c r="L648" s="821" t="s">
        <v>1087</v>
      </c>
      <c r="M648" s="821" t="s">
        <v>1105</v>
      </c>
      <c r="N648" s="821" t="s">
        <v>886</v>
      </c>
      <c r="O648" s="821" t="s">
        <v>886</v>
      </c>
      <c r="P648" s="533">
        <v>318512</v>
      </c>
      <c r="Q648" s="820">
        <v>3185.12</v>
      </c>
      <c r="R648" t="str">
        <f t="shared" si="16"/>
        <v>201712</v>
      </c>
      <c r="S648" s="405">
        <f>Q648</f>
        <v>3185.12</v>
      </c>
    </row>
    <row r="649" spans="1:19">
      <c r="A649" s="821" t="s">
        <v>877</v>
      </c>
      <c r="B649" s="821" t="s">
        <v>878</v>
      </c>
      <c r="C649" s="821" t="s">
        <v>879</v>
      </c>
      <c r="D649" s="821" t="s">
        <v>880</v>
      </c>
      <c r="E649" s="821" t="s">
        <v>880</v>
      </c>
      <c r="F649" s="821" t="s">
        <v>881</v>
      </c>
      <c r="G649" s="821" t="s">
        <v>882</v>
      </c>
      <c r="H649" s="821" t="s">
        <v>1032</v>
      </c>
      <c r="I649" s="821" t="s">
        <v>1087</v>
      </c>
      <c r="J649" s="821" t="s">
        <v>885</v>
      </c>
      <c r="K649" s="821" t="s">
        <v>886</v>
      </c>
      <c r="L649" s="821" t="s">
        <v>1087</v>
      </c>
      <c r="M649" s="821" t="s">
        <v>1105</v>
      </c>
      <c r="N649" s="821" t="s">
        <v>886</v>
      </c>
      <c r="O649" s="821" t="s">
        <v>886</v>
      </c>
      <c r="P649" s="533">
        <v>50000000</v>
      </c>
      <c r="Q649" s="794">
        <v>500000</v>
      </c>
      <c r="R649" t="str">
        <f t="shared" si="16"/>
        <v>201712</v>
      </c>
      <c r="S649" s="405">
        <f>Q649</f>
        <v>500000</v>
      </c>
    </row>
    <row r="650" spans="1:19">
      <c r="A650" s="821" t="s">
        <v>877</v>
      </c>
      <c r="B650" s="821" t="s">
        <v>878</v>
      </c>
      <c r="C650" s="821" t="s">
        <v>879</v>
      </c>
      <c r="D650" s="821" t="s">
        <v>880</v>
      </c>
      <c r="E650" s="821" t="s">
        <v>880</v>
      </c>
      <c r="F650" s="821" t="s">
        <v>881</v>
      </c>
      <c r="G650" s="821" t="s">
        <v>882</v>
      </c>
      <c r="H650" s="821" t="s">
        <v>1032</v>
      </c>
      <c r="I650" s="821" t="s">
        <v>1087</v>
      </c>
      <c r="J650" s="821" t="s">
        <v>885</v>
      </c>
      <c r="K650" s="821" t="s">
        <v>886</v>
      </c>
      <c r="L650" s="821" t="s">
        <v>1087</v>
      </c>
      <c r="M650" s="821" t="s">
        <v>1105</v>
      </c>
      <c r="N650" s="821" t="s">
        <v>888</v>
      </c>
      <c r="O650" s="821" t="s">
        <v>886</v>
      </c>
      <c r="P650" s="533">
        <v>24794392</v>
      </c>
      <c r="Q650" s="794">
        <v>-247943.92</v>
      </c>
      <c r="R650" t="str">
        <f t="shared" si="16"/>
        <v>201712</v>
      </c>
      <c r="S650" s="405">
        <f>-Q650</f>
        <v>247943.92</v>
      </c>
    </row>
    <row r="651" spans="1:19">
      <c r="A651" s="821" t="s">
        <v>877</v>
      </c>
      <c r="B651" s="821" t="s">
        <v>878</v>
      </c>
      <c r="C651" s="821" t="s">
        <v>879</v>
      </c>
      <c r="D651" s="821" t="s">
        <v>880</v>
      </c>
      <c r="E651" s="821" t="s">
        <v>880</v>
      </c>
      <c r="F651" s="821" t="s">
        <v>881</v>
      </c>
      <c r="G651" s="821" t="s">
        <v>882</v>
      </c>
      <c r="H651" s="821" t="s">
        <v>1032</v>
      </c>
      <c r="I651" s="821" t="s">
        <v>1088</v>
      </c>
      <c r="J651" s="821" t="s">
        <v>885</v>
      </c>
      <c r="K651" s="821" t="s">
        <v>886</v>
      </c>
      <c r="L651" s="821" t="s">
        <v>1088</v>
      </c>
      <c r="M651" s="821" t="s">
        <v>1105</v>
      </c>
      <c r="N651" s="821" t="s">
        <v>888</v>
      </c>
      <c r="O651" s="821" t="s">
        <v>886</v>
      </c>
      <c r="P651" s="533">
        <v>180112</v>
      </c>
      <c r="Q651" s="820">
        <v>-1801.12</v>
      </c>
      <c r="R651" t="str">
        <f t="shared" si="16"/>
        <v>201712</v>
      </c>
      <c r="S651" s="405">
        <f>-Q651</f>
        <v>1801.12</v>
      </c>
    </row>
    <row r="652" spans="1:19">
      <c r="A652" s="821" t="s">
        <v>877</v>
      </c>
      <c r="B652" s="821" t="s">
        <v>878</v>
      </c>
      <c r="C652" s="821" t="s">
        <v>879</v>
      </c>
      <c r="D652" s="821" t="s">
        <v>880</v>
      </c>
      <c r="E652" s="821" t="s">
        <v>880</v>
      </c>
      <c r="F652" s="821" t="s">
        <v>881</v>
      </c>
      <c r="G652" s="821" t="s">
        <v>882</v>
      </c>
      <c r="H652" s="821" t="s">
        <v>883</v>
      </c>
      <c r="I652" s="821" t="s">
        <v>1088</v>
      </c>
      <c r="J652" s="821" t="s">
        <v>885</v>
      </c>
      <c r="K652" s="821" t="s">
        <v>886</v>
      </c>
      <c r="L652" s="821" t="s">
        <v>1088</v>
      </c>
      <c r="M652" s="821" t="s">
        <v>1105</v>
      </c>
      <c r="N652" s="821" t="s">
        <v>886</v>
      </c>
      <c r="O652" s="821" t="s">
        <v>886</v>
      </c>
      <c r="P652" s="533">
        <v>400000000</v>
      </c>
      <c r="Q652" s="794">
        <v>4000000</v>
      </c>
      <c r="R652" t="str">
        <f t="shared" si="16"/>
        <v>201712</v>
      </c>
      <c r="S652" s="405">
        <f>Q652</f>
        <v>4000000</v>
      </c>
    </row>
    <row r="653" spans="1:19">
      <c r="A653" s="821" t="s">
        <v>877</v>
      </c>
      <c r="B653" s="821" t="s">
        <v>878</v>
      </c>
      <c r="C653" s="821" t="s">
        <v>879</v>
      </c>
      <c r="D653" s="821" t="s">
        <v>880</v>
      </c>
      <c r="E653" s="821" t="s">
        <v>880</v>
      </c>
      <c r="F653" s="821" t="s">
        <v>881</v>
      </c>
      <c r="G653" s="821" t="s">
        <v>882</v>
      </c>
      <c r="H653" s="821" t="s">
        <v>1032</v>
      </c>
      <c r="I653" s="821" t="s">
        <v>1088</v>
      </c>
      <c r="J653" s="821" t="s">
        <v>885</v>
      </c>
      <c r="K653" s="821" t="s">
        <v>886</v>
      </c>
      <c r="L653" s="821" t="s">
        <v>1088</v>
      </c>
      <c r="M653" s="821" t="s">
        <v>1105</v>
      </c>
      <c r="N653" s="821" t="s">
        <v>888</v>
      </c>
      <c r="O653" s="821" t="s">
        <v>886</v>
      </c>
      <c r="P653" s="533">
        <v>379934740</v>
      </c>
      <c r="Q653" s="794">
        <v>-3799347.4</v>
      </c>
      <c r="R653" t="str">
        <f t="shared" si="16"/>
        <v>201712</v>
      </c>
      <c r="S653" s="405">
        <f>-Q653</f>
        <v>3799347.4</v>
      </c>
    </row>
    <row r="654" spans="1:19">
      <c r="A654" s="821" t="s">
        <v>877</v>
      </c>
      <c r="B654" s="821" t="s">
        <v>878</v>
      </c>
      <c r="C654" s="821" t="s">
        <v>879</v>
      </c>
      <c r="D654" s="821" t="s">
        <v>880</v>
      </c>
      <c r="E654" s="821" t="s">
        <v>880</v>
      </c>
      <c r="F654" s="821" t="s">
        <v>881</v>
      </c>
      <c r="G654" s="821" t="s">
        <v>882</v>
      </c>
      <c r="H654" s="821" t="s">
        <v>1032</v>
      </c>
      <c r="I654" s="821" t="s">
        <v>1089</v>
      </c>
      <c r="J654" s="821" t="s">
        <v>885</v>
      </c>
      <c r="K654" s="821" t="s">
        <v>886</v>
      </c>
      <c r="L654" s="821" t="s">
        <v>1089</v>
      </c>
      <c r="M654" s="821" t="s">
        <v>1105</v>
      </c>
      <c r="N654" s="821" t="s">
        <v>888</v>
      </c>
      <c r="O654" s="821" t="s">
        <v>886</v>
      </c>
      <c r="P654" s="533">
        <v>1508083</v>
      </c>
      <c r="Q654" s="820">
        <v>-15080.83</v>
      </c>
      <c r="R654" t="str">
        <f t="shared" si="16"/>
        <v>201712</v>
      </c>
      <c r="S654" s="405">
        <f>-Q654</f>
        <v>15080.83</v>
      </c>
    </row>
    <row r="655" spans="1:19">
      <c r="A655" s="821" t="s">
        <v>877</v>
      </c>
      <c r="B655" s="821" t="s">
        <v>878</v>
      </c>
      <c r="C655" s="821" t="s">
        <v>879</v>
      </c>
      <c r="D655" s="821" t="s">
        <v>880</v>
      </c>
      <c r="E655" s="821" t="s">
        <v>880</v>
      </c>
      <c r="F655" s="821" t="s">
        <v>881</v>
      </c>
      <c r="G655" s="821" t="s">
        <v>882</v>
      </c>
      <c r="H655" s="821" t="s">
        <v>1032</v>
      </c>
      <c r="I655" s="821" t="s">
        <v>1089</v>
      </c>
      <c r="J655" s="821" t="s">
        <v>885</v>
      </c>
      <c r="K655" s="821" t="s">
        <v>886</v>
      </c>
      <c r="L655" s="821" t="s">
        <v>1089</v>
      </c>
      <c r="M655" s="821" t="s">
        <v>1105</v>
      </c>
      <c r="N655" s="821" t="s">
        <v>886</v>
      </c>
      <c r="O655" s="821" t="s">
        <v>886</v>
      </c>
      <c r="P655" s="533">
        <v>20000000</v>
      </c>
      <c r="Q655" s="794">
        <v>200000</v>
      </c>
      <c r="R655" t="str">
        <f t="shared" si="16"/>
        <v>201712</v>
      </c>
      <c r="S655" s="405">
        <f>Q655</f>
        <v>200000</v>
      </c>
    </row>
    <row r="656" spans="1:19">
      <c r="A656" s="821" t="s">
        <v>877</v>
      </c>
      <c r="B656" s="821" t="s">
        <v>878</v>
      </c>
      <c r="C656" s="821" t="s">
        <v>879</v>
      </c>
      <c r="D656" s="821" t="s">
        <v>880</v>
      </c>
      <c r="E656" s="821" t="s">
        <v>880</v>
      </c>
      <c r="F656" s="821" t="s">
        <v>881</v>
      </c>
      <c r="G656" s="821" t="s">
        <v>882</v>
      </c>
      <c r="H656" s="821" t="s">
        <v>1032</v>
      </c>
      <c r="I656" s="821" t="s">
        <v>1090</v>
      </c>
      <c r="J656" s="821" t="s">
        <v>885</v>
      </c>
      <c r="K656" s="821" t="s">
        <v>886</v>
      </c>
      <c r="L656" s="821" t="s">
        <v>1090</v>
      </c>
      <c r="M656" s="821" t="s">
        <v>1105</v>
      </c>
      <c r="N656" s="821" t="s">
        <v>886</v>
      </c>
      <c r="O656" s="821" t="s">
        <v>886</v>
      </c>
      <c r="P656" s="533">
        <v>952623</v>
      </c>
      <c r="Q656" s="820">
        <v>9526.23</v>
      </c>
      <c r="R656" t="str">
        <f t="shared" si="16"/>
        <v>201712</v>
      </c>
      <c r="S656" s="405">
        <f>Q656</f>
        <v>9526.23</v>
      </c>
    </row>
    <row r="657" spans="1:19">
      <c r="A657" s="821" t="s">
        <v>877</v>
      </c>
      <c r="B657" s="821" t="s">
        <v>878</v>
      </c>
      <c r="C657" s="821" t="s">
        <v>879</v>
      </c>
      <c r="D657" s="821" t="s">
        <v>880</v>
      </c>
      <c r="E657" s="821" t="s">
        <v>880</v>
      </c>
      <c r="F657" s="821" t="s">
        <v>881</v>
      </c>
      <c r="G657" s="821" t="s">
        <v>882</v>
      </c>
      <c r="H657" s="821" t="s">
        <v>1032</v>
      </c>
      <c r="I657" s="821" t="s">
        <v>1091</v>
      </c>
      <c r="J657" s="821" t="s">
        <v>885</v>
      </c>
      <c r="K657" s="821" t="s">
        <v>886</v>
      </c>
      <c r="L657" s="821" t="s">
        <v>1091</v>
      </c>
      <c r="M657" s="821" t="s">
        <v>1105</v>
      </c>
      <c r="N657" s="821" t="s">
        <v>888</v>
      </c>
      <c r="O657" s="821" t="s">
        <v>886</v>
      </c>
      <c r="P657" s="533">
        <v>8449</v>
      </c>
      <c r="Q657" s="820">
        <v>-84.49</v>
      </c>
      <c r="R657" t="str">
        <f t="shared" si="16"/>
        <v>201712</v>
      </c>
      <c r="S657" s="405">
        <f>-Q657</f>
        <v>84.49</v>
      </c>
    </row>
    <row r="658" spans="1:19">
      <c r="A658" s="821" t="s">
        <v>877</v>
      </c>
      <c r="B658" s="821" t="s">
        <v>878</v>
      </c>
      <c r="C658" s="821" t="s">
        <v>879</v>
      </c>
      <c r="D658" s="821" t="s">
        <v>880</v>
      </c>
      <c r="E658" s="821" t="s">
        <v>880</v>
      </c>
      <c r="F658" s="821" t="s">
        <v>881</v>
      </c>
      <c r="G658" s="821" t="s">
        <v>882</v>
      </c>
      <c r="H658" s="821" t="s">
        <v>1032</v>
      </c>
      <c r="I658" s="821" t="s">
        <v>1092</v>
      </c>
      <c r="J658" s="821" t="s">
        <v>885</v>
      </c>
      <c r="K658" s="821" t="s">
        <v>886</v>
      </c>
      <c r="L658" s="821" t="s">
        <v>1092</v>
      </c>
      <c r="M658" s="821" t="s">
        <v>1105</v>
      </c>
      <c r="N658" s="821" t="s">
        <v>886</v>
      </c>
      <c r="O658" s="821" t="s">
        <v>886</v>
      </c>
      <c r="P658" s="533">
        <v>75063</v>
      </c>
      <c r="Q658" s="820">
        <v>750.63</v>
      </c>
      <c r="R658" t="str">
        <f t="shared" si="16"/>
        <v>201712</v>
      </c>
      <c r="S658" s="405">
        <f>Q658</f>
        <v>750.63</v>
      </c>
    </row>
    <row r="659" spans="1:19">
      <c r="A659" s="821" t="s">
        <v>877</v>
      </c>
      <c r="B659" s="821" t="s">
        <v>878</v>
      </c>
      <c r="C659" s="821" t="s">
        <v>879</v>
      </c>
      <c r="D659" s="821" t="s">
        <v>880</v>
      </c>
      <c r="E659" s="821" t="s">
        <v>880</v>
      </c>
      <c r="F659" s="821" t="s">
        <v>881</v>
      </c>
      <c r="G659" s="821" t="s">
        <v>882</v>
      </c>
      <c r="H659" s="821" t="s">
        <v>1032</v>
      </c>
      <c r="I659" s="821" t="s">
        <v>1092</v>
      </c>
      <c r="J659" s="821" t="s">
        <v>885</v>
      </c>
      <c r="K659" s="821" t="s">
        <v>886</v>
      </c>
      <c r="L659" s="821" t="s">
        <v>1092</v>
      </c>
      <c r="M659" s="821" t="s">
        <v>1105</v>
      </c>
      <c r="N659" s="821" t="s">
        <v>888</v>
      </c>
      <c r="O659" s="821" t="s">
        <v>886</v>
      </c>
      <c r="P659" s="533">
        <v>33047808</v>
      </c>
      <c r="Q659" s="794">
        <v>-330478.08000000002</v>
      </c>
      <c r="R659" t="str">
        <f t="shared" si="16"/>
        <v>201712</v>
      </c>
      <c r="S659" s="405">
        <f>-Q659</f>
        <v>330478.08000000002</v>
      </c>
    </row>
    <row r="660" spans="1:19">
      <c r="A660" s="821" t="s">
        <v>877</v>
      </c>
      <c r="B660" s="821" t="s">
        <v>878</v>
      </c>
      <c r="C660" s="821" t="s">
        <v>879</v>
      </c>
      <c r="D660" s="821" t="s">
        <v>880</v>
      </c>
      <c r="E660" s="821" t="s">
        <v>880</v>
      </c>
      <c r="F660" s="821" t="s">
        <v>881</v>
      </c>
      <c r="G660" s="821" t="s">
        <v>882</v>
      </c>
      <c r="H660" s="821" t="s">
        <v>1032</v>
      </c>
      <c r="I660" s="821" t="s">
        <v>1092</v>
      </c>
      <c r="J660" s="821" t="s">
        <v>885</v>
      </c>
      <c r="K660" s="821" t="s">
        <v>886</v>
      </c>
      <c r="L660" s="821" t="s">
        <v>1092</v>
      </c>
      <c r="M660" s="821" t="s">
        <v>1105</v>
      </c>
      <c r="N660" s="821" t="s">
        <v>886</v>
      </c>
      <c r="O660" s="821" t="s">
        <v>886</v>
      </c>
      <c r="P660" s="533">
        <v>30000000</v>
      </c>
      <c r="Q660" s="794">
        <v>300000</v>
      </c>
      <c r="R660" t="str">
        <f t="shared" si="16"/>
        <v>201712</v>
      </c>
      <c r="S660" s="405">
        <f>Q660</f>
        <v>300000</v>
      </c>
    </row>
    <row r="661" spans="1:19">
      <c r="A661" s="821" t="s">
        <v>877</v>
      </c>
      <c r="B661" s="821" t="s">
        <v>878</v>
      </c>
      <c r="C661" s="821" t="s">
        <v>879</v>
      </c>
      <c r="D661" s="821" t="s">
        <v>880</v>
      </c>
      <c r="E661" s="821" t="s">
        <v>880</v>
      </c>
      <c r="F661" s="821" t="s">
        <v>881</v>
      </c>
      <c r="G661" s="821" t="s">
        <v>882</v>
      </c>
      <c r="H661" s="821" t="s">
        <v>1032</v>
      </c>
      <c r="I661" s="821" t="s">
        <v>1092</v>
      </c>
      <c r="J661" s="821" t="s">
        <v>885</v>
      </c>
      <c r="K661" s="821" t="s">
        <v>886</v>
      </c>
      <c r="L661" s="821" t="s">
        <v>1092</v>
      </c>
      <c r="M661" s="821" t="s">
        <v>1105</v>
      </c>
      <c r="N661" s="821" t="s">
        <v>886</v>
      </c>
      <c r="O661" s="821" t="s">
        <v>886</v>
      </c>
      <c r="P661" s="533">
        <v>40000000</v>
      </c>
      <c r="Q661" s="794">
        <v>400000</v>
      </c>
      <c r="R661" t="str">
        <f t="shared" si="16"/>
        <v>201712</v>
      </c>
      <c r="S661" s="405">
        <f>Q661</f>
        <v>400000</v>
      </c>
    </row>
    <row r="662" spans="1:19">
      <c r="A662" s="821" t="s">
        <v>877</v>
      </c>
      <c r="B662" s="821" t="s">
        <v>878</v>
      </c>
      <c r="C662" s="821" t="s">
        <v>879</v>
      </c>
      <c r="D662" s="821" t="s">
        <v>880</v>
      </c>
      <c r="E662" s="821" t="s">
        <v>880</v>
      </c>
      <c r="F662" s="821" t="s">
        <v>881</v>
      </c>
      <c r="G662" s="821" t="s">
        <v>882</v>
      </c>
      <c r="H662" s="821" t="s">
        <v>1032</v>
      </c>
      <c r="I662" s="821" t="s">
        <v>1092</v>
      </c>
      <c r="J662" s="821" t="s">
        <v>885</v>
      </c>
      <c r="K662" s="821" t="s">
        <v>886</v>
      </c>
      <c r="L662" s="821" t="s">
        <v>1092</v>
      </c>
      <c r="M662" s="821" t="s">
        <v>1105</v>
      </c>
      <c r="N662" s="821" t="s">
        <v>888</v>
      </c>
      <c r="O662" s="821" t="s">
        <v>886</v>
      </c>
      <c r="P662" s="533">
        <v>14799215</v>
      </c>
      <c r="Q662" s="794">
        <v>-147992.15</v>
      </c>
      <c r="R662" t="str">
        <f t="shared" si="16"/>
        <v>201712</v>
      </c>
      <c r="S662" s="405">
        <f>-Q662</f>
        <v>147992.15</v>
      </c>
    </row>
    <row r="663" spans="1:19">
      <c r="A663" s="821" t="s">
        <v>877</v>
      </c>
      <c r="B663" s="821" t="s">
        <v>878</v>
      </c>
      <c r="C663" s="821" t="s">
        <v>879</v>
      </c>
      <c r="D663" s="821" t="s">
        <v>880</v>
      </c>
      <c r="E663" s="821" t="s">
        <v>880</v>
      </c>
      <c r="F663" s="821" t="s">
        <v>881</v>
      </c>
      <c r="G663" s="821" t="s">
        <v>882</v>
      </c>
      <c r="H663" s="821" t="s">
        <v>883</v>
      </c>
      <c r="I663" s="821" t="s">
        <v>1093</v>
      </c>
      <c r="J663" s="821" t="s">
        <v>885</v>
      </c>
      <c r="K663" s="821" t="s">
        <v>886</v>
      </c>
      <c r="L663" s="821" t="s">
        <v>1093</v>
      </c>
      <c r="M663" s="821" t="s">
        <v>1105</v>
      </c>
      <c r="N663" s="821" t="s">
        <v>888</v>
      </c>
      <c r="O663" s="821" t="s">
        <v>886</v>
      </c>
      <c r="P663" s="533">
        <v>2166501</v>
      </c>
      <c r="Q663" s="820">
        <v>-21665.01</v>
      </c>
      <c r="R663" t="str">
        <f t="shared" si="16"/>
        <v>201712</v>
      </c>
      <c r="S663" s="405">
        <f>-Q663</f>
        <v>21665.01</v>
      </c>
    </row>
    <row r="664" spans="1:19">
      <c r="A664" s="821" t="s">
        <v>877</v>
      </c>
      <c r="B664" s="821" t="s">
        <v>878</v>
      </c>
      <c r="C664" s="821" t="s">
        <v>879</v>
      </c>
      <c r="D664" s="821" t="s">
        <v>880</v>
      </c>
      <c r="E664" s="821" t="s">
        <v>880</v>
      </c>
      <c r="F664" s="821" t="s">
        <v>881</v>
      </c>
      <c r="G664" s="821" t="s">
        <v>882</v>
      </c>
      <c r="H664" s="821" t="s">
        <v>1032</v>
      </c>
      <c r="I664" s="821" t="s">
        <v>1094</v>
      </c>
      <c r="J664" s="821" t="s">
        <v>885</v>
      </c>
      <c r="K664" s="821" t="s">
        <v>886</v>
      </c>
      <c r="L664" s="821" t="s">
        <v>1094</v>
      </c>
      <c r="M664" s="821" t="s">
        <v>1105</v>
      </c>
      <c r="N664" s="821" t="s">
        <v>888</v>
      </c>
      <c r="O664" s="821" t="s">
        <v>886</v>
      </c>
      <c r="P664" s="533">
        <v>416252</v>
      </c>
      <c r="Q664" s="820">
        <v>-4162.5200000000004</v>
      </c>
      <c r="R664" t="str">
        <f t="shared" si="16"/>
        <v>201712</v>
      </c>
      <c r="S664" s="405">
        <f>-Q664</f>
        <v>4162.5200000000004</v>
      </c>
    </row>
    <row r="665" spans="1:19">
      <c r="A665" s="821" t="s">
        <v>877</v>
      </c>
      <c r="B665" s="821" t="s">
        <v>878</v>
      </c>
      <c r="C665" s="821" t="s">
        <v>879</v>
      </c>
      <c r="D665" s="821" t="s">
        <v>880</v>
      </c>
      <c r="E665" s="821" t="s">
        <v>880</v>
      </c>
      <c r="F665" s="821" t="s">
        <v>881</v>
      </c>
      <c r="G665" s="821" t="s">
        <v>882</v>
      </c>
      <c r="H665" s="821" t="s">
        <v>1032</v>
      </c>
      <c r="I665" s="821" t="s">
        <v>1095</v>
      </c>
      <c r="J665" s="821" t="s">
        <v>885</v>
      </c>
      <c r="K665" s="821" t="s">
        <v>886</v>
      </c>
      <c r="L665" s="821" t="s">
        <v>1095</v>
      </c>
      <c r="M665" s="821" t="s">
        <v>1105</v>
      </c>
      <c r="N665" s="821" t="s">
        <v>886</v>
      </c>
      <c r="O665" s="821" t="s">
        <v>886</v>
      </c>
      <c r="P665" s="533">
        <v>1386773</v>
      </c>
      <c r="Q665" s="820">
        <v>13867.73</v>
      </c>
      <c r="R665" t="str">
        <f t="shared" si="16"/>
        <v>201712</v>
      </c>
      <c r="S665" s="405">
        <f>Q665</f>
        <v>13867.73</v>
      </c>
    </row>
    <row r="666" spans="1:19">
      <c r="A666" s="821" t="s">
        <v>877</v>
      </c>
      <c r="B666" s="821" t="s">
        <v>878</v>
      </c>
      <c r="C666" s="821" t="s">
        <v>879</v>
      </c>
      <c r="D666" s="821" t="s">
        <v>880</v>
      </c>
      <c r="E666" s="821" t="s">
        <v>880</v>
      </c>
      <c r="F666" s="821" t="s">
        <v>881</v>
      </c>
      <c r="G666" s="821" t="s">
        <v>882</v>
      </c>
      <c r="H666" s="821" t="s">
        <v>1032</v>
      </c>
      <c r="I666" s="821" t="s">
        <v>1095</v>
      </c>
      <c r="J666" s="821" t="s">
        <v>885</v>
      </c>
      <c r="K666" s="821" t="s">
        <v>886</v>
      </c>
      <c r="L666" s="821" t="s">
        <v>1095</v>
      </c>
      <c r="M666" s="821" t="s">
        <v>1105</v>
      </c>
      <c r="N666" s="821" t="s">
        <v>886</v>
      </c>
      <c r="O666" s="821" t="s">
        <v>886</v>
      </c>
      <c r="P666" s="533">
        <v>20000000</v>
      </c>
      <c r="Q666" s="794">
        <v>200000</v>
      </c>
      <c r="R666" t="str">
        <f t="shared" si="16"/>
        <v>201712</v>
      </c>
      <c r="S666" s="405">
        <f>Q666</f>
        <v>200000</v>
      </c>
    </row>
    <row r="667" spans="1:19">
      <c r="A667" s="821" t="s">
        <v>877</v>
      </c>
      <c r="B667" s="821" t="s">
        <v>878</v>
      </c>
      <c r="C667" s="821" t="s">
        <v>879</v>
      </c>
      <c r="D667" s="821" t="s">
        <v>880</v>
      </c>
      <c r="E667" s="821" t="s">
        <v>880</v>
      </c>
      <c r="F667" s="821" t="s">
        <v>881</v>
      </c>
      <c r="G667" s="821" t="s">
        <v>882</v>
      </c>
      <c r="H667" s="821" t="s">
        <v>1032</v>
      </c>
      <c r="I667" s="821" t="s">
        <v>1096</v>
      </c>
      <c r="J667" s="821" t="s">
        <v>885</v>
      </c>
      <c r="K667" s="821" t="s">
        <v>886</v>
      </c>
      <c r="L667" s="821" t="s">
        <v>1096</v>
      </c>
      <c r="M667" s="821" t="s">
        <v>1105</v>
      </c>
      <c r="N667" s="821" t="s">
        <v>886</v>
      </c>
      <c r="O667" s="821" t="s">
        <v>886</v>
      </c>
      <c r="P667" s="533">
        <v>479247</v>
      </c>
      <c r="Q667" s="820">
        <v>4792.47</v>
      </c>
      <c r="R667" t="str">
        <f t="shared" si="16"/>
        <v>201712</v>
      </c>
      <c r="S667" s="405">
        <f>Q667</f>
        <v>4792.47</v>
      </c>
    </row>
    <row r="668" spans="1:19">
      <c r="A668" s="821" t="s">
        <v>877</v>
      </c>
      <c r="B668" s="821" t="s">
        <v>878</v>
      </c>
      <c r="C668" s="821" t="s">
        <v>879</v>
      </c>
      <c r="D668" s="821" t="s">
        <v>880</v>
      </c>
      <c r="E668" s="821" t="s">
        <v>880</v>
      </c>
      <c r="F668" s="821" t="s">
        <v>881</v>
      </c>
      <c r="G668" s="821" t="s">
        <v>882</v>
      </c>
      <c r="H668" s="821" t="s">
        <v>1032</v>
      </c>
      <c r="I668" s="821" t="s">
        <v>1096</v>
      </c>
      <c r="J668" s="821" t="s">
        <v>885</v>
      </c>
      <c r="K668" s="821" t="s">
        <v>886</v>
      </c>
      <c r="L668" s="821" t="s">
        <v>1096</v>
      </c>
      <c r="M668" s="821" t="s">
        <v>1105</v>
      </c>
      <c r="N668" s="821" t="s">
        <v>888</v>
      </c>
      <c r="O668" s="821" t="s">
        <v>886</v>
      </c>
      <c r="P668" s="533">
        <v>19992400</v>
      </c>
      <c r="Q668" s="794">
        <v>-199924</v>
      </c>
      <c r="R668" t="str">
        <f t="shared" si="16"/>
        <v>201712</v>
      </c>
      <c r="S668" s="405">
        <f>-Q668</f>
        <v>199924</v>
      </c>
    </row>
    <row r="669" spans="1:19">
      <c r="A669" s="821" t="s">
        <v>877</v>
      </c>
      <c r="B669" s="821" t="s">
        <v>878</v>
      </c>
      <c r="C669" s="821" t="s">
        <v>879</v>
      </c>
      <c r="D669" s="821" t="s">
        <v>880</v>
      </c>
      <c r="E669" s="821" t="s">
        <v>880</v>
      </c>
      <c r="F669" s="821" t="s">
        <v>881</v>
      </c>
      <c r="G669" s="821" t="s">
        <v>882</v>
      </c>
      <c r="H669" s="821" t="s">
        <v>1032</v>
      </c>
      <c r="I669" s="821" t="s">
        <v>1097</v>
      </c>
      <c r="J669" s="821" t="s">
        <v>885</v>
      </c>
      <c r="K669" s="821" t="s">
        <v>886</v>
      </c>
      <c r="L669" s="821" t="s">
        <v>1097</v>
      </c>
      <c r="M669" s="821" t="s">
        <v>1105</v>
      </c>
      <c r="N669" s="821" t="s">
        <v>888</v>
      </c>
      <c r="O669" s="821" t="s">
        <v>886</v>
      </c>
      <c r="P669" s="533">
        <v>558568</v>
      </c>
      <c r="Q669" s="820">
        <v>-5585.68</v>
      </c>
      <c r="R669" t="str">
        <f t="shared" si="16"/>
        <v>201712</v>
      </c>
      <c r="S669" s="405">
        <f>-Q669</f>
        <v>5585.68</v>
      </c>
    </row>
    <row r="670" spans="1:19">
      <c r="A670" s="821" t="s">
        <v>877</v>
      </c>
      <c r="B670" s="821" t="s">
        <v>878</v>
      </c>
      <c r="C670" s="821" t="s">
        <v>879</v>
      </c>
      <c r="D670" s="821" t="s">
        <v>880</v>
      </c>
      <c r="E670" s="821" t="s">
        <v>880</v>
      </c>
      <c r="F670" s="821" t="s">
        <v>881</v>
      </c>
      <c r="G670" s="821" t="s">
        <v>882</v>
      </c>
      <c r="H670" s="821" t="s">
        <v>1032</v>
      </c>
      <c r="I670" s="821" t="s">
        <v>1098</v>
      </c>
      <c r="J670" s="821" t="s">
        <v>885</v>
      </c>
      <c r="K670" s="821" t="s">
        <v>886</v>
      </c>
      <c r="L670" s="821" t="s">
        <v>1098</v>
      </c>
      <c r="M670" s="821" t="s">
        <v>1105</v>
      </c>
      <c r="N670" s="821" t="s">
        <v>888</v>
      </c>
      <c r="O670" s="821" t="s">
        <v>886</v>
      </c>
      <c r="P670" s="533">
        <v>462577</v>
      </c>
      <c r="Q670" s="820">
        <v>-4625.7700000000004</v>
      </c>
      <c r="R670" t="str">
        <f t="shared" si="16"/>
        <v>201712</v>
      </c>
      <c r="S670" s="405">
        <f>-Q670</f>
        <v>4625.7700000000004</v>
      </c>
    </row>
    <row r="671" spans="1:19">
      <c r="A671" s="821" t="s">
        <v>877</v>
      </c>
      <c r="B671" s="821" t="s">
        <v>878</v>
      </c>
      <c r="C671" s="821" t="s">
        <v>879</v>
      </c>
      <c r="D671" s="821" t="s">
        <v>880</v>
      </c>
      <c r="E671" s="821" t="s">
        <v>880</v>
      </c>
      <c r="F671" s="821" t="s">
        <v>881</v>
      </c>
      <c r="G671" s="821" t="s">
        <v>882</v>
      </c>
      <c r="H671" s="821" t="s">
        <v>1032</v>
      </c>
      <c r="I671" s="821" t="s">
        <v>1098</v>
      </c>
      <c r="J671" s="821" t="s">
        <v>885</v>
      </c>
      <c r="K671" s="821" t="s">
        <v>886</v>
      </c>
      <c r="L671" s="821" t="s">
        <v>1098</v>
      </c>
      <c r="M671" s="821" t="s">
        <v>1105</v>
      </c>
      <c r="N671" s="821" t="s">
        <v>886</v>
      </c>
      <c r="O671" s="821" t="s">
        <v>886</v>
      </c>
      <c r="P671" s="533">
        <v>20008533</v>
      </c>
      <c r="Q671" s="823"/>
      <c r="R671" t="str">
        <f t="shared" si="16"/>
        <v>201712</v>
      </c>
      <c r="S671" s="405">
        <f>Q671</f>
        <v>0</v>
      </c>
    </row>
    <row r="672" spans="1:19">
      <c r="A672" s="821" t="s">
        <v>877</v>
      </c>
      <c r="B672" s="821" t="s">
        <v>878</v>
      </c>
      <c r="C672" s="821" t="s">
        <v>879</v>
      </c>
      <c r="D672" s="821" t="s">
        <v>880</v>
      </c>
      <c r="E672" s="821" t="s">
        <v>880</v>
      </c>
      <c r="F672" s="821" t="s">
        <v>881</v>
      </c>
      <c r="G672" s="821" t="s">
        <v>882</v>
      </c>
      <c r="H672" s="821" t="s">
        <v>1032</v>
      </c>
      <c r="I672" s="821" t="s">
        <v>1099</v>
      </c>
      <c r="J672" s="821" t="s">
        <v>885</v>
      </c>
      <c r="K672" s="821" t="s">
        <v>886</v>
      </c>
      <c r="L672" s="821" t="s">
        <v>1099</v>
      </c>
      <c r="M672" s="821" t="s">
        <v>1105</v>
      </c>
      <c r="N672" s="821" t="s">
        <v>886</v>
      </c>
      <c r="O672" s="821" t="s">
        <v>886</v>
      </c>
      <c r="P672" s="533">
        <v>6699</v>
      </c>
      <c r="Q672" s="820">
        <v>66.989999999999995</v>
      </c>
      <c r="R672" t="str">
        <f t="shared" si="16"/>
        <v>201712</v>
      </c>
      <c r="S672" s="405">
        <f>Q672</f>
        <v>66.989999999999995</v>
      </c>
    </row>
    <row r="673" spans="1:19">
      <c r="A673" s="821" t="s">
        <v>877</v>
      </c>
      <c r="B673" s="821" t="s">
        <v>878</v>
      </c>
      <c r="C673" s="821" t="s">
        <v>879</v>
      </c>
      <c r="D673" s="821" t="s">
        <v>880</v>
      </c>
      <c r="E673" s="821" t="s">
        <v>880</v>
      </c>
      <c r="F673" s="821" t="s">
        <v>881</v>
      </c>
      <c r="G673" s="821" t="s">
        <v>882</v>
      </c>
      <c r="H673" s="821" t="s">
        <v>1032</v>
      </c>
      <c r="I673" s="821" t="s">
        <v>1099</v>
      </c>
      <c r="J673" s="821" t="s">
        <v>885</v>
      </c>
      <c r="K673" s="821" t="s">
        <v>886</v>
      </c>
      <c r="L673" s="821" t="s">
        <v>1099</v>
      </c>
      <c r="M673" s="821" t="s">
        <v>1105</v>
      </c>
      <c r="N673" s="821" t="s">
        <v>888</v>
      </c>
      <c r="O673" s="821" t="s">
        <v>886</v>
      </c>
      <c r="P673" s="533">
        <v>623537</v>
      </c>
      <c r="Q673" s="820">
        <v>-6235.37</v>
      </c>
      <c r="R673" t="str">
        <f t="shared" si="16"/>
        <v>201712</v>
      </c>
      <c r="S673" s="405">
        <f>-Q673</f>
        <v>6235.37</v>
      </c>
    </row>
    <row r="674" spans="1:19">
      <c r="A674" s="821" t="s">
        <v>877</v>
      </c>
      <c r="B674" s="821" t="s">
        <v>878</v>
      </c>
      <c r="C674" s="821" t="s">
        <v>879</v>
      </c>
      <c r="D674" s="821" t="s">
        <v>880</v>
      </c>
      <c r="E674" s="821" t="s">
        <v>880</v>
      </c>
      <c r="F674" s="821" t="s">
        <v>881</v>
      </c>
      <c r="G674" s="821" t="s">
        <v>882</v>
      </c>
      <c r="H674" s="821" t="s">
        <v>1032</v>
      </c>
      <c r="I674" s="821" t="s">
        <v>1100</v>
      </c>
      <c r="J674" s="821" t="s">
        <v>885</v>
      </c>
      <c r="K674" s="821" t="s">
        <v>886</v>
      </c>
      <c r="L674" s="821" t="s">
        <v>1100</v>
      </c>
      <c r="M674" s="821" t="s">
        <v>1105</v>
      </c>
      <c r="N674" s="821" t="s">
        <v>886</v>
      </c>
      <c r="O674" s="821" t="s">
        <v>886</v>
      </c>
      <c r="P674" s="533">
        <v>1985003</v>
      </c>
      <c r="Q674" s="820">
        <v>19850.03</v>
      </c>
      <c r="R674" t="str">
        <f t="shared" si="16"/>
        <v>201712</v>
      </c>
      <c r="S674" s="405">
        <f>Q674</f>
        <v>19850.03</v>
      </c>
    </row>
    <row r="675" spans="1:19">
      <c r="A675" s="821" t="s">
        <v>877</v>
      </c>
      <c r="B675" s="821" t="s">
        <v>878</v>
      </c>
      <c r="C675" s="821" t="s">
        <v>879</v>
      </c>
      <c r="D675" s="821" t="s">
        <v>880</v>
      </c>
      <c r="E675" s="821" t="s">
        <v>880</v>
      </c>
      <c r="F675" s="821" t="s">
        <v>881</v>
      </c>
      <c r="G675" s="821" t="s">
        <v>882</v>
      </c>
      <c r="H675" s="821" t="s">
        <v>1032</v>
      </c>
      <c r="I675" s="821" t="s">
        <v>1101</v>
      </c>
      <c r="J675" s="821" t="s">
        <v>885</v>
      </c>
      <c r="K675" s="821" t="s">
        <v>886</v>
      </c>
      <c r="L675" s="821" t="s">
        <v>1101</v>
      </c>
      <c r="M675" s="821" t="s">
        <v>1105</v>
      </c>
      <c r="N675" s="821" t="s">
        <v>888</v>
      </c>
      <c r="O675" s="821" t="s">
        <v>886</v>
      </c>
      <c r="P675" s="533">
        <v>1857797</v>
      </c>
      <c r="Q675" s="820">
        <v>-18577.97</v>
      </c>
      <c r="R675" t="str">
        <f t="shared" si="16"/>
        <v>201712</v>
      </c>
      <c r="S675" s="405">
        <f>-Q675</f>
        <v>18577.97</v>
      </c>
    </row>
    <row r="676" spans="1:19">
      <c r="A676" s="821" t="s">
        <v>877</v>
      </c>
      <c r="B676" s="821" t="s">
        <v>878</v>
      </c>
      <c r="C676" s="821" t="s">
        <v>879</v>
      </c>
      <c r="D676" s="821" t="s">
        <v>880</v>
      </c>
      <c r="E676" s="821" t="s">
        <v>880</v>
      </c>
      <c r="F676" s="821" t="s">
        <v>881</v>
      </c>
      <c r="G676" s="821" t="s">
        <v>882</v>
      </c>
      <c r="H676" s="821" t="s">
        <v>1032</v>
      </c>
      <c r="I676" s="821" t="s">
        <v>1102</v>
      </c>
      <c r="J676" s="821" t="s">
        <v>885</v>
      </c>
      <c r="K676" s="821" t="s">
        <v>886</v>
      </c>
      <c r="L676" s="821" t="s">
        <v>1102</v>
      </c>
      <c r="M676" s="821" t="s">
        <v>1105</v>
      </c>
      <c r="N676" s="821" t="s">
        <v>888</v>
      </c>
      <c r="O676" s="821" t="s">
        <v>886</v>
      </c>
      <c r="P676" s="533">
        <v>251933</v>
      </c>
      <c r="Q676" s="820">
        <v>-2519.33</v>
      </c>
      <c r="R676" t="str">
        <f t="shared" si="16"/>
        <v>201712</v>
      </c>
      <c r="S676" s="405">
        <f>-Q676</f>
        <v>2519.33</v>
      </c>
    </row>
    <row r="677" spans="1:19">
      <c r="A677" s="821" t="s">
        <v>877</v>
      </c>
      <c r="B677" s="821" t="s">
        <v>878</v>
      </c>
      <c r="C677" s="821" t="s">
        <v>879</v>
      </c>
      <c r="D677" s="821" t="s">
        <v>880</v>
      </c>
      <c r="E677" s="821" t="s">
        <v>880</v>
      </c>
      <c r="F677" s="821" t="s">
        <v>881</v>
      </c>
      <c r="G677" s="821" t="s">
        <v>882</v>
      </c>
      <c r="H677" s="821" t="s">
        <v>1032</v>
      </c>
      <c r="I677" s="821" t="s">
        <v>1102</v>
      </c>
      <c r="J677" s="821" t="s">
        <v>885</v>
      </c>
      <c r="K677" s="821" t="s">
        <v>886</v>
      </c>
      <c r="L677" s="821" t="s">
        <v>1102</v>
      </c>
      <c r="M677" s="821" t="s">
        <v>1105</v>
      </c>
      <c r="N677" s="821" t="s">
        <v>886</v>
      </c>
      <c r="O677" s="821" t="s">
        <v>886</v>
      </c>
      <c r="P677" s="533">
        <v>24500000</v>
      </c>
      <c r="Q677" s="794">
        <v>245000</v>
      </c>
      <c r="R677" t="str">
        <f t="shared" si="16"/>
        <v>201712</v>
      </c>
      <c r="S677" s="405">
        <f>Q677</f>
        <v>245000</v>
      </c>
    </row>
    <row r="678" spans="1:19">
      <c r="A678" s="821" t="s">
        <v>877</v>
      </c>
      <c r="B678" s="821" t="s">
        <v>878</v>
      </c>
      <c r="C678" s="821" t="s">
        <v>879</v>
      </c>
      <c r="D678" s="821" t="s">
        <v>880</v>
      </c>
      <c r="E678" s="821" t="s">
        <v>880</v>
      </c>
      <c r="F678" s="821" t="s">
        <v>881</v>
      </c>
      <c r="G678" s="821" t="s">
        <v>882</v>
      </c>
      <c r="H678" s="821" t="s">
        <v>1032</v>
      </c>
      <c r="I678" s="821" t="s">
        <v>1102</v>
      </c>
      <c r="J678" s="821" t="s">
        <v>885</v>
      </c>
      <c r="K678" s="821" t="s">
        <v>886</v>
      </c>
      <c r="L678" s="821" t="s">
        <v>1102</v>
      </c>
      <c r="M678" s="821" t="s">
        <v>1105</v>
      </c>
      <c r="N678" s="821" t="s">
        <v>886</v>
      </c>
      <c r="O678" s="821" t="s">
        <v>886</v>
      </c>
      <c r="P678" s="533">
        <v>45500000</v>
      </c>
      <c r="Q678" s="794">
        <v>455000</v>
      </c>
      <c r="R678" t="str">
        <f t="shared" si="16"/>
        <v>201712</v>
      </c>
      <c r="S678" s="405">
        <f>Q678</f>
        <v>455000</v>
      </c>
    </row>
    <row r="679" spans="1:19">
      <c r="A679" s="821" t="s">
        <v>877</v>
      </c>
      <c r="B679" s="821" t="s">
        <v>878</v>
      </c>
      <c r="C679" s="821" t="s">
        <v>879</v>
      </c>
      <c r="D679" s="821" t="s">
        <v>880</v>
      </c>
      <c r="E679" s="821" t="s">
        <v>880</v>
      </c>
      <c r="F679" s="821" t="s">
        <v>881</v>
      </c>
      <c r="G679" s="821" t="s">
        <v>882</v>
      </c>
      <c r="H679" s="821" t="s">
        <v>1032</v>
      </c>
      <c r="I679" s="821" t="s">
        <v>1102</v>
      </c>
      <c r="J679" s="821" t="s">
        <v>885</v>
      </c>
      <c r="K679" s="821" t="s">
        <v>886</v>
      </c>
      <c r="L679" s="821" t="s">
        <v>1102</v>
      </c>
      <c r="M679" s="821" t="s">
        <v>1105</v>
      </c>
      <c r="N679" s="821" t="s">
        <v>888</v>
      </c>
      <c r="O679" s="821" t="s">
        <v>886</v>
      </c>
      <c r="P679" s="533">
        <v>45576781</v>
      </c>
      <c r="Q679" s="794">
        <v>-455767.81</v>
      </c>
      <c r="R679" t="str">
        <f t="shared" si="16"/>
        <v>201712</v>
      </c>
      <c r="S679" s="405">
        <f>-Q679</f>
        <v>455767.81</v>
      </c>
    </row>
    <row r="680" spans="1:19">
      <c r="A680" s="821" t="s">
        <v>877</v>
      </c>
      <c r="B680" s="821" t="s">
        <v>878</v>
      </c>
      <c r="C680" s="821" t="s">
        <v>879</v>
      </c>
      <c r="D680" s="821" t="s">
        <v>880</v>
      </c>
      <c r="E680" s="821" t="s">
        <v>880</v>
      </c>
      <c r="F680" s="821" t="s">
        <v>881</v>
      </c>
      <c r="G680" s="821" t="s">
        <v>882</v>
      </c>
      <c r="H680" s="821" t="s">
        <v>1032</v>
      </c>
      <c r="I680" s="821" t="s">
        <v>1103</v>
      </c>
      <c r="J680" s="821" t="s">
        <v>885</v>
      </c>
      <c r="K680" s="821" t="s">
        <v>886</v>
      </c>
      <c r="L680" s="821" t="s">
        <v>1103</v>
      </c>
      <c r="M680" s="821" t="s">
        <v>1105</v>
      </c>
      <c r="N680" s="821" t="s">
        <v>886</v>
      </c>
      <c r="O680" s="821" t="s">
        <v>886</v>
      </c>
      <c r="P680" s="533">
        <v>836972</v>
      </c>
      <c r="Q680" s="820">
        <v>8369.7199999999993</v>
      </c>
      <c r="R680" t="str">
        <f t="shared" si="16"/>
        <v>201712</v>
      </c>
      <c r="S680" s="405">
        <f>Q680</f>
        <v>8369.7199999999993</v>
      </c>
    </row>
    <row r="681" spans="1:19">
      <c r="A681" s="821" t="s">
        <v>877</v>
      </c>
      <c r="B681" s="821" t="s">
        <v>878</v>
      </c>
      <c r="C681" s="821" t="s">
        <v>879</v>
      </c>
      <c r="D681" s="821" t="s">
        <v>880</v>
      </c>
      <c r="E681" s="821" t="s">
        <v>880</v>
      </c>
      <c r="F681" s="821" t="s">
        <v>881</v>
      </c>
      <c r="G681" s="821" t="s">
        <v>882</v>
      </c>
      <c r="H681" s="821" t="s">
        <v>1032</v>
      </c>
      <c r="I681" s="821" t="s">
        <v>1103</v>
      </c>
      <c r="J681" s="821" t="s">
        <v>885</v>
      </c>
      <c r="K681" s="821" t="s">
        <v>886</v>
      </c>
      <c r="L681" s="821" t="s">
        <v>1103</v>
      </c>
      <c r="M681" s="821" t="s">
        <v>1105</v>
      </c>
      <c r="N681" s="821" t="s">
        <v>886</v>
      </c>
      <c r="O681" s="821" t="s">
        <v>886</v>
      </c>
      <c r="P681" s="533">
        <v>76246</v>
      </c>
      <c r="Q681" s="820">
        <v>762.46</v>
      </c>
      <c r="R681" t="str">
        <f t="shared" si="16"/>
        <v>201712</v>
      </c>
      <c r="S681" s="405">
        <f>Q681</f>
        <v>762.46</v>
      </c>
    </row>
    <row r="682" spans="1:19">
      <c r="A682" s="821" t="s">
        <v>877</v>
      </c>
      <c r="B682" s="821" t="s">
        <v>878</v>
      </c>
      <c r="C682" s="821" t="s">
        <v>879</v>
      </c>
      <c r="D682" s="821" t="s">
        <v>880</v>
      </c>
      <c r="E682" s="821" t="s">
        <v>880</v>
      </c>
      <c r="F682" s="821" t="s">
        <v>881</v>
      </c>
      <c r="G682" s="821" t="s">
        <v>882</v>
      </c>
      <c r="H682" s="821" t="s">
        <v>1032</v>
      </c>
      <c r="I682" s="821" t="s">
        <v>1103</v>
      </c>
      <c r="J682" s="821" t="s">
        <v>885</v>
      </c>
      <c r="K682" s="821" t="s">
        <v>886</v>
      </c>
      <c r="L682" s="821" t="s">
        <v>1103</v>
      </c>
      <c r="M682" s="821" t="s">
        <v>1105</v>
      </c>
      <c r="N682" s="821" t="s">
        <v>886</v>
      </c>
      <c r="O682" s="821" t="s">
        <v>886</v>
      </c>
      <c r="P682" s="533">
        <v>234283</v>
      </c>
      <c r="Q682" s="820">
        <v>2342.83</v>
      </c>
      <c r="R682" t="str">
        <f t="shared" si="16"/>
        <v>201712</v>
      </c>
      <c r="S682" s="405">
        <f>Q682</f>
        <v>2342.83</v>
      </c>
    </row>
    <row r="683" spans="1:19">
      <c r="A683" s="821" t="s">
        <v>877</v>
      </c>
      <c r="B683" s="821" t="s">
        <v>878</v>
      </c>
      <c r="C683" s="821" t="s">
        <v>879</v>
      </c>
      <c r="D683" s="821" t="s">
        <v>880</v>
      </c>
      <c r="E683" s="821" t="s">
        <v>880</v>
      </c>
      <c r="F683" s="821" t="s">
        <v>881</v>
      </c>
      <c r="G683" s="821" t="s">
        <v>882</v>
      </c>
      <c r="H683" s="821" t="s">
        <v>1032</v>
      </c>
      <c r="I683" s="821" t="s">
        <v>1103</v>
      </c>
      <c r="J683" s="821" t="s">
        <v>885</v>
      </c>
      <c r="K683" s="821" t="s">
        <v>886</v>
      </c>
      <c r="L683" s="821" t="s">
        <v>1103</v>
      </c>
      <c r="M683" s="821" t="s">
        <v>1105</v>
      </c>
      <c r="N683" s="821" t="s">
        <v>888</v>
      </c>
      <c r="O683" s="821" t="s">
        <v>886</v>
      </c>
      <c r="P683" s="533">
        <v>19604313</v>
      </c>
      <c r="Q683" s="794">
        <v>-196043.13</v>
      </c>
      <c r="R683" t="str">
        <f t="shared" si="16"/>
        <v>201712</v>
      </c>
      <c r="S683" s="405">
        <f>-Q683</f>
        <v>196043.13</v>
      </c>
    </row>
    <row r="684" spans="1:19">
      <c r="A684" s="821" t="s">
        <v>877</v>
      </c>
      <c r="B684" s="821" t="s">
        <v>878</v>
      </c>
      <c r="C684" s="821" t="s">
        <v>879</v>
      </c>
      <c r="D684" s="821" t="s">
        <v>880</v>
      </c>
      <c r="E684" s="821" t="s">
        <v>880</v>
      </c>
      <c r="F684" s="821" t="s">
        <v>881</v>
      </c>
      <c r="G684" s="821" t="s">
        <v>882</v>
      </c>
      <c r="H684" s="821" t="s">
        <v>1032</v>
      </c>
      <c r="I684" s="821" t="s">
        <v>1103</v>
      </c>
      <c r="J684" s="821" t="s">
        <v>885</v>
      </c>
      <c r="K684" s="821" t="s">
        <v>886</v>
      </c>
      <c r="L684" s="821" t="s">
        <v>1103</v>
      </c>
      <c r="M684" s="821" t="s">
        <v>1105</v>
      </c>
      <c r="N684" s="821" t="s">
        <v>888</v>
      </c>
      <c r="O684" s="821" t="s">
        <v>886</v>
      </c>
      <c r="P684" s="533">
        <v>29542858</v>
      </c>
      <c r="Q684" s="794">
        <v>-295428.58</v>
      </c>
      <c r="R684" t="str">
        <f t="shared" si="16"/>
        <v>201712</v>
      </c>
      <c r="S684" s="405">
        <f>-Q684</f>
        <v>295428.58</v>
      </c>
    </row>
    <row r="685" spans="1:19">
      <c r="A685" s="821" t="s">
        <v>877</v>
      </c>
      <c r="B685" s="821" t="s">
        <v>878</v>
      </c>
      <c r="C685" s="821" t="s">
        <v>879</v>
      </c>
      <c r="D685" s="821" t="s">
        <v>880</v>
      </c>
      <c r="E685" s="821" t="s">
        <v>880</v>
      </c>
      <c r="F685" s="821" t="s">
        <v>881</v>
      </c>
      <c r="G685" s="821" t="s">
        <v>882</v>
      </c>
      <c r="H685" s="821" t="s">
        <v>883</v>
      </c>
      <c r="I685" s="821" t="s">
        <v>1071</v>
      </c>
      <c r="J685" s="821" t="s">
        <v>885</v>
      </c>
      <c r="K685" s="821" t="s">
        <v>886</v>
      </c>
      <c r="L685" s="821" t="s">
        <v>1071</v>
      </c>
      <c r="M685" s="821" t="s">
        <v>1108</v>
      </c>
      <c r="N685" s="821" t="s">
        <v>886</v>
      </c>
      <c r="O685" s="821" t="s">
        <v>886</v>
      </c>
      <c r="P685" s="533">
        <v>50010306</v>
      </c>
      <c r="Q685" s="823"/>
      <c r="R685" t="str">
        <f t="shared" si="16"/>
        <v>201710</v>
      </c>
      <c r="S685" s="405">
        <f>Q685</f>
        <v>0</v>
      </c>
    </row>
    <row r="686" spans="1:19">
      <c r="A686" s="821" t="s">
        <v>877</v>
      </c>
      <c r="B686" s="821" t="s">
        <v>878</v>
      </c>
      <c r="C686" s="821" t="s">
        <v>879</v>
      </c>
      <c r="D686" s="821" t="s">
        <v>880</v>
      </c>
      <c r="E686" s="821" t="s">
        <v>880</v>
      </c>
      <c r="F686" s="821" t="s">
        <v>881</v>
      </c>
      <c r="G686" s="821" t="s">
        <v>882</v>
      </c>
      <c r="H686" s="821" t="s">
        <v>883</v>
      </c>
      <c r="I686" s="821" t="s">
        <v>1072</v>
      </c>
      <c r="J686" s="821" t="s">
        <v>885</v>
      </c>
      <c r="K686" s="821" t="s">
        <v>886</v>
      </c>
      <c r="L686" s="821" t="s">
        <v>1072</v>
      </c>
      <c r="M686" s="821" t="s">
        <v>1108</v>
      </c>
      <c r="N686" s="821" t="s">
        <v>886</v>
      </c>
      <c r="O686" s="821" t="s">
        <v>886</v>
      </c>
      <c r="P686" s="533">
        <v>50028</v>
      </c>
      <c r="Q686" s="820">
        <v>500.28</v>
      </c>
      <c r="R686" t="str">
        <f t="shared" si="16"/>
        <v>201710</v>
      </c>
      <c r="S686" s="405">
        <f>Q686</f>
        <v>500.28</v>
      </c>
    </row>
    <row r="687" spans="1:19">
      <c r="A687" s="821" t="s">
        <v>877</v>
      </c>
      <c r="B687" s="821" t="s">
        <v>878</v>
      </c>
      <c r="C687" s="821" t="s">
        <v>879</v>
      </c>
      <c r="D687" s="821" t="s">
        <v>880</v>
      </c>
      <c r="E687" s="821" t="s">
        <v>880</v>
      </c>
      <c r="F687" s="821" t="s">
        <v>881</v>
      </c>
      <c r="G687" s="821" t="s">
        <v>882</v>
      </c>
      <c r="H687" s="821" t="s">
        <v>883</v>
      </c>
      <c r="I687" s="821" t="s">
        <v>1072</v>
      </c>
      <c r="J687" s="821" t="s">
        <v>885</v>
      </c>
      <c r="K687" s="821" t="s">
        <v>886</v>
      </c>
      <c r="L687" s="821" t="s">
        <v>1072</v>
      </c>
      <c r="M687" s="821" t="s">
        <v>1108</v>
      </c>
      <c r="N687" s="821" t="s">
        <v>888</v>
      </c>
      <c r="O687" s="821" t="s">
        <v>886</v>
      </c>
      <c r="P687" s="533">
        <v>109973</v>
      </c>
      <c r="Q687" s="820">
        <v>-1099.73</v>
      </c>
      <c r="R687" t="str">
        <f t="shared" si="16"/>
        <v>201710</v>
      </c>
      <c r="S687" s="405">
        <f>-Q687</f>
        <v>1099.73</v>
      </c>
    </row>
    <row r="688" spans="1:19">
      <c r="A688" s="821" t="s">
        <v>877</v>
      </c>
      <c r="B688" s="821" t="s">
        <v>878</v>
      </c>
      <c r="C688" s="821" t="s">
        <v>879</v>
      </c>
      <c r="D688" s="821" t="s">
        <v>880</v>
      </c>
      <c r="E688" s="821" t="s">
        <v>880</v>
      </c>
      <c r="F688" s="821" t="s">
        <v>881</v>
      </c>
      <c r="G688" s="821" t="s">
        <v>882</v>
      </c>
      <c r="H688" s="821" t="s">
        <v>883</v>
      </c>
      <c r="I688" s="821" t="s">
        <v>1073</v>
      </c>
      <c r="J688" s="821" t="s">
        <v>885</v>
      </c>
      <c r="K688" s="821" t="s">
        <v>886</v>
      </c>
      <c r="L688" s="821" t="s">
        <v>1073</v>
      </c>
      <c r="M688" s="821" t="s">
        <v>1108</v>
      </c>
      <c r="N688" s="821" t="s">
        <v>886</v>
      </c>
      <c r="O688" s="821" t="s">
        <v>886</v>
      </c>
      <c r="P688" s="533">
        <v>163528</v>
      </c>
      <c r="Q688" s="820">
        <v>1635.28</v>
      </c>
      <c r="R688" t="str">
        <f t="shared" si="16"/>
        <v>201711</v>
      </c>
      <c r="S688" s="405">
        <f>Q688</f>
        <v>1635.28</v>
      </c>
    </row>
    <row r="689" spans="1:19">
      <c r="A689" s="821" t="s">
        <v>877</v>
      </c>
      <c r="B689" s="821" t="s">
        <v>878</v>
      </c>
      <c r="C689" s="821" t="s">
        <v>879</v>
      </c>
      <c r="D689" s="821" t="s">
        <v>880</v>
      </c>
      <c r="E689" s="821" t="s">
        <v>880</v>
      </c>
      <c r="F689" s="821" t="s">
        <v>881</v>
      </c>
      <c r="G689" s="821" t="s">
        <v>882</v>
      </c>
      <c r="H689" s="821" t="s">
        <v>883</v>
      </c>
      <c r="I689" s="821" t="s">
        <v>1075</v>
      </c>
      <c r="J689" s="821" t="s">
        <v>885</v>
      </c>
      <c r="K689" s="821" t="s">
        <v>886</v>
      </c>
      <c r="L689" s="821" t="s">
        <v>1075</v>
      </c>
      <c r="M689" s="821" t="s">
        <v>1108</v>
      </c>
      <c r="N689" s="821" t="s">
        <v>888</v>
      </c>
      <c r="O689" s="821" t="s">
        <v>886</v>
      </c>
      <c r="P689" s="533">
        <v>133472</v>
      </c>
      <c r="Q689" s="820">
        <v>-1334.72</v>
      </c>
      <c r="R689" t="str">
        <f t="shared" si="16"/>
        <v>201711</v>
      </c>
      <c r="S689" s="405">
        <f>-Q689</f>
        <v>1334.72</v>
      </c>
    </row>
    <row r="690" spans="1:19">
      <c r="A690" s="821" t="s">
        <v>877</v>
      </c>
      <c r="B690" s="821" t="s">
        <v>878</v>
      </c>
      <c r="C690" s="821" t="s">
        <v>879</v>
      </c>
      <c r="D690" s="821" t="s">
        <v>880</v>
      </c>
      <c r="E690" s="821" t="s">
        <v>880</v>
      </c>
      <c r="F690" s="821" t="s">
        <v>881</v>
      </c>
      <c r="G690" s="821" t="s">
        <v>882</v>
      </c>
      <c r="H690" s="821" t="s">
        <v>883</v>
      </c>
      <c r="I690" s="821" t="s">
        <v>1075</v>
      </c>
      <c r="J690" s="821" t="s">
        <v>885</v>
      </c>
      <c r="K690" s="821" t="s">
        <v>886</v>
      </c>
      <c r="L690" s="821" t="s">
        <v>1075</v>
      </c>
      <c r="M690" s="821" t="s">
        <v>1108</v>
      </c>
      <c r="N690" s="821" t="s">
        <v>888</v>
      </c>
      <c r="O690" s="821" t="s">
        <v>886</v>
      </c>
      <c r="P690" s="533">
        <v>37361</v>
      </c>
      <c r="Q690" s="820">
        <v>-373.61</v>
      </c>
      <c r="R690" t="str">
        <f t="shared" si="16"/>
        <v>201711</v>
      </c>
      <c r="S690" s="405">
        <f>-Q690</f>
        <v>373.61</v>
      </c>
    </row>
    <row r="691" spans="1:19">
      <c r="A691" s="821" t="s">
        <v>877</v>
      </c>
      <c r="B691" s="821" t="s">
        <v>878</v>
      </c>
      <c r="C691" s="821" t="s">
        <v>879</v>
      </c>
      <c r="D691" s="821" t="s">
        <v>880</v>
      </c>
      <c r="E691" s="821" t="s">
        <v>880</v>
      </c>
      <c r="F691" s="821" t="s">
        <v>881</v>
      </c>
      <c r="G691" s="821" t="s">
        <v>882</v>
      </c>
      <c r="H691" s="821" t="s">
        <v>883</v>
      </c>
      <c r="I691" s="821" t="s">
        <v>1078</v>
      </c>
      <c r="J691" s="821" t="s">
        <v>885</v>
      </c>
      <c r="K691" s="821" t="s">
        <v>886</v>
      </c>
      <c r="L691" s="821" t="s">
        <v>1078</v>
      </c>
      <c r="M691" s="821" t="s">
        <v>1108</v>
      </c>
      <c r="N691" s="821" t="s">
        <v>888</v>
      </c>
      <c r="O691" s="821" t="s">
        <v>886</v>
      </c>
      <c r="P691" s="533">
        <v>96972</v>
      </c>
      <c r="Q691" s="820">
        <v>-969.72</v>
      </c>
      <c r="R691" t="str">
        <f t="shared" si="16"/>
        <v>201711</v>
      </c>
      <c r="S691" s="405">
        <f>-Q691</f>
        <v>969.72</v>
      </c>
    </row>
    <row r="692" spans="1:19">
      <c r="A692" s="821" t="s">
        <v>877</v>
      </c>
      <c r="B692" s="821" t="s">
        <v>878</v>
      </c>
      <c r="C692" s="821" t="s">
        <v>879</v>
      </c>
      <c r="D692" s="821" t="s">
        <v>880</v>
      </c>
      <c r="E692" s="821" t="s">
        <v>880</v>
      </c>
      <c r="F692" s="821" t="s">
        <v>881</v>
      </c>
      <c r="G692" s="821" t="s">
        <v>882</v>
      </c>
      <c r="H692" s="821" t="s">
        <v>883</v>
      </c>
      <c r="I692" s="821" t="s">
        <v>1080</v>
      </c>
      <c r="J692" s="821" t="s">
        <v>885</v>
      </c>
      <c r="K692" s="821" t="s">
        <v>886</v>
      </c>
      <c r="L692" s="821" t="s">
        <v>1080</v>
      </c>
      <c r="M692" s="821" t="s">
        <v>1108</v>
      </c>
      <c r="N692" s="821" t="s">
        <v>888</v>
      </c>
      <c r="O692" s="821" t="s">
        <v>886</v>
      </c>
      <c r="P692" s="533">
        <v>112</v>
      </c>
      <c r="Q692" s="820">
        <v>-1.1200000000000001</v>
      </c>
      <c r="R692" t="str">
        <f t="shared" si="16"/>
        <v>201711</v>
      </c>
      <c r="S692" s="405">
        <f>-Q692</f>
        <v>1.1200000000000001</v>
      </c>
    </row>
    <row r="693" spans="1:19">
      <c r="A693" s="821" t="s">
        <v>877</v>
      </c>
      <c r="B693" s="821" t="s">
        <v>878</v>
      </c>
      <c r="C693" s="821" t="s">
        <v>879</v>
      </c>
      <c r="D693" s="821" t="s">
        <v>880</v>
      </c>
      <c r="E693" s="821" t="s">
        <v>880</v>
      </c>
      <c r="F693" s="821" t="s">
        <v>881</v>
      </c>
      <c r="G693" s="821" t="s">
        <v>882</v>
      </c>
      <c r="H693" s="821" t="s">
        <v>883</v>
      </c>
      <c r="I693" s="821" t="s">
        <v>1082</v>
      </c>
      <c r="J693" s="821" t="s">
        <v>885</v>
      </c>
      <c r="K693" s="821" t="s">
        <v>886</v>
      </c>
      <c r="L693" s="821" t="s">
        <v>1082</v>
      </c>
      <c r="M693" s="821" t="s">
        <v>1108</v>
      </c>
      <c r="N693" s="821" t="s">
        <v>888</v>
      </c>
      <c r="O693" s="821" t="s">
        <v>886</v>
      </c>
      <c r="P693" s="533">
        <v>75472</v>
      </c>
      <c r="Q693" s="820">
        <v>-754.72</v>
      </c>
      <c r="R693" t="str">
        <f t="shared" si="16"/>
        <v>201711</v>
      </c>
      <c r="S693" s="405">
        <f>-Q693</f>
        <v>754.72</v>
      </c>
    </row>
    <row r="694" spans="1:19">
      <c r="A694" s="821" t="s">
        <v>877</v>
      </c>
      <c r="B694" s="821" t="s">
        <v>878</v>
      </c>
      <c r="C694" s="821" t="s">
        <v>879</v>
      </c>
      <c r="D694" s="821" t="s">
        <v>880</v>
      </c>
      <c r="E694" s="821" t="s">
        <v>880</v>
      </c>
      <c r="F694" s="821" t="s">
        <v>881</v>
      </c>
      <c r="G694" s="821" t="s">
        <v>882</v>
      </c>
      <c r="H694" s="821" t="s">
        <v>883</v>
      </c>
      <c r="I694" s="821" t="s">
        <v>1083</v>
      </c>
      <c r="J694" s="821" t="s">
        <v>885</v>
      </c>
      <c r="K694" s="821" t="s">
        <v>886</v>
      </c>
      <c r="L694" s="821" t="s">
        <v>1083</v>
      </c>
      <c r="M694" s="821" t="s">
        <v>1108</v>
      </c>
      <c r="N694" s="821" t="s">
        <v>886</v>
      </c>
      <c r="O694" s="821" t="s">
        <v>886</v>
      </c>
      <c r="P694" s="533">
        <v>19027</v>
      </c>
      <c r="Q694" s="820">
        <v>190.27</v>
      </c>
      <c r="R694" t="str">
        <f t="shared" si="16"/>
        <v>201711</v>
      </c>
      <c r="S694" s="405">
        <f>Q694</f>
        <v>190.27</v>
      </c>
    </row>
    <row r="695" spans="1:19">
      <c r="A695" s="821" t="s">
        <v>877</v>
      </c>
      <c r="B695" s="821" t="s">
        <v>878</v>
      </c>
      <c r="C695" s="821" t="s">
        <v>879</v>
      </c>
      <c r="D695" s="821" t="s">
        <v>880</v>
      </c>
      <c r="E695" s="821" t="s">
        <v>880</v>
      </c>
      <c r="F695" s="821" t="s">
        <v>881</v>
      </c>
      <c r="G695" s="821" t="s">
        <v>882</v>
      </c>
      <c r="H695" s="821" t="s">
        <v>1032</v>
      </c>
      <c r="I695" s="821" t="s">
        <v>1084</v>
      </c>
      <c r="J695" s="821" t="s">
        <v>885</v>
      </c>
      <c r="K695" s="821" t="s">
        <v>886</v>
      </c>
      <c r="L695" s="821" t="s">
        <v>1084</v>
      </c>
      <c r="M695" s="821" t="s">
        <v>1108</v>
      </c>
      <c r="N695" s="821" t="s">
        <v>886</v>
      </c>
      <c r="O695" s="821" t="s">
        <v>886</v>
      </c>
      <c r="P695" s="533">
        <v>21528</v>
      </c>
      <c r="Q695" s="820">
        <v>215.28</v>
      </c>
      <c r="R695" t="str">
        <f t="shared" si="16"/>
        <v>201711</v>
      </c>
      <c r="S695" s="405">
        <f>Q695</f>
        <v>215.28</v>
      </c>
    </row>
    <row r="696" spans="1:19">
      <c r="A696" s="821" t="s">
        <v>877</v>
      </c>
      <c r="B696" s="821" t="s">
        <v>878</v>
      </c>
      <c r="C696" s="821" t="s">
        <v>879</v>
      </c>
      <c r="D696" s="821" t="s">
        <v>880</v>
      </c>
      <c r="E696" s="821" t="s">
        <v>880</v>
      </c>
      <c r="F696" s="821" t="s">
        <v>881</v>
      </c>
      <c r="G696" s="821" t="s">
        <v>882</v>
      </c>
      <c r="H696" s="821" t="s">
        <v>1032</v>
      </c>
      <c r="I696" s="821" t="s">
        <v>1085</v>
      </c>
      <c r="J696" s="821" t="s">
        <v>885</v>
      </c>
      <c r="K696" s="821" t="s">
        <v>886</v>
      </c>
      <c r="L696" s="821" t="s">
        <v>1085</v>
      </c>
      <c r="M696" s="821" t="s">
        <v>1108</v>
      </c>
      <c r="N696" s="821" t="s">
        <v>888</v>
      </c>
      <c r="O696" s="821" t="s">
        <v>886</v>
      </c>
      <c r="P696" s="533">
        <v>85111</v>
      </c>
      <c r="Q696" s="820">
        <v>-851.11</v>
      </c>
      <c r="R696" t="str">
        <f t="shared" si="16"/>
        <v>201711</v>
      </c>
      <c r="S696" s="405">
        <f>-Q696</f>
        <v>851.11</v>
      </c>
    </row>
    <row r="697" spans="1:19">
      <c r="A697" s="821" t="s">
        <v>877</v>
      </c>
      <c r="B697" s="821" t="s">
        <v>878</v>
      </c>
      <c r="C697" s="821" t="s">
        <v>879</v>
      </c>
      <c r="D697" s="821" t="s">
        <v>880</v>
      </c>
      <c r="E697" s="821" t="s">
        <v>880</v>
      </c>
      <c r="F697" s="821" t="s">
        <v>881</v>
      </c>
      <c r="G697" s="821" t="s">
        <v>882</v>
      </c>
      <c r="H697" s="821" t="s">
        <v>1032</v>
      </c>
      <c r="I697" s="821" t="s">
        <v>1086</v>
      </c>
      <c r="J697" s="821" t="s">
        <v>885</v>
      </c>
      <c r="K697" s="821" t="s">
        <v>886</v>
      </c>
      <c r="L697" s="821" t="s">
        <v>1086</v>
      </c>
      <c r="M697" s="821" t="s">
        <v>1108</v>
      </c>
      <c r="N697" s="821" t="s">
        <v>886</v>
      </c>
      <c r="O697" s="821" t="s">
        <v>886</v>
      </c>
      <c r="P697" s="533">
        <v>353279</v>
      </c>
      <c r="Q697" s="820">
        <v>3532.79</v>
      </c>
      <c r="R697" t="str">
        <f t="shared" si="16"/>
        <v>201711</v>
      </c>
      <c r="S697" s="405">
        <f>Q697</f>
        <v>3532.79</v>
      </c>
    </row>
    <row r="698" spans="1:19">
      <c r="A698" s="821" t="s">
        <v>877</v>
      </c>
      <c r="B698" s="821" t="s">
        <v>878</v>
      </c>
      <c r="C698" s="821" t="s">
        <v>879</v>
      </c>
      <c r="D698" s="821" t="s">
        <v>880</v>
      </c>
      <c r="E698" s="821" t="s">
        <v>880</v>
      </c>
      <c r="F698" s="821" t="s">
        <v>881</v>
      </c>
      <c r="G698" s="821" t="s">
        <v>882</v>
      </c>
      <c r="H698" s="821" t="s">
        <v>1032</v>
      </c>
      <c r="I698" s="821" t="s">
        <v>1086</v>
      </c>
      <c r="J698" s="821" t="s">
        <v>885</v>
      </c>
      <c r="K698" s="821" t="s">
        <v>886</v>
      </c>
      <c r="L698" s="821" t="s">
        <v>1086</v>
      </c>
      <c r="M698" s="821" t="s">
        <v>1108</v>
      </c>
      <c r="N698" s="821" t="s">
        <v>888</v>
      </c>
      <c r="O698" s="821" t="s">
        <v>886</v>
      </c>
      <c r="P698" s="533">
        <v>38972</v>
      </c>
      <c r="Q698" s="820">
        <v>-389.72</v>
      </c>
      <c r="R698" t="str">
        <f t="shared" si="16"/>
        <v>201711</v>
      </c>
      <c r="S698" s="405">
        <f>-Q698</f>
        <v>389.72</v>
      </c>
    </row>
    <row r="699" spans="1:19">
      <c r="A699" s="821" t="s">
        <v>877</v>
      </c>
      <c r="B699" s="821" t="s">
        <v>878</v>
      </c>
      <c r="C699" s="821" t="s">
        <v>879</v>
      </c>
      <c r="D699" s="821" t="s">
        <v>880</v>
      </c>
      <c r="E699" s="821" t="s">
        <v>880</v>
      </c>
      <c r="F699" s="821" t="s">
        <v>881</v>
      </c>
      <c r="G699" s="821" t="s">
        <v>882</v>
      </c>
      <c r="H699" s="821" t="s">
        <v>1032</v>
      </c>
      <c r="I699" s="821" t="s">
        <v>1087</v>
      </c>
      <c r="J699" s="821" t="s">
        <v>885</v>
      </c>
      <c r="K699" s="821" t="s">
        <v>886</v>
      </c>
      <c r="L699" s="821" t="s">
        <v>1087</v>
      </c>
      <c r="M699" s="821" t="s">
        <v>1108</v>
      </c>
      <c r="N699" s="821" t="s">
        <v>886</v>
      </c>
      <c r="O699" s="821" t="s">
        <v>886</v>
      </c>
      <c r="P699" s="533">
        <v>3528</v>
      </c>
      <c r="Q699" s="820">
        <v>35.28</v>
      </c>
      <c r="R699" t="str">
        <f t="shared" si="16"/>
        <v>201712</v>
      </c>
      <c r="S699" s="405">
        <f>Q699</f>
        <v>35.28</v>
      </c>
    </row>
    <row r="700" spans="1:19">
      <c r="A700" s="821" t="s">
        <v>877</v>
      </c>
      <c r="B700" s="821" t="s">
        <v>878</v>
      </c>
      <c r="C700" s="821" t="s">
        <v>879</v>
      </c>
      <c r="D700" s="821" t="s">
        <v>880</v>
      </c>
      <c r="E700" s="821" t="s">
        <v>880</v>
      </c>
      <c r="F700" s="821" t="s">
        <v>881</v>
      </c>
      <c r="G700" s="821" t="s">
        <v>882</v>
      </c>
      <c r="H700" s="821" t="s">
        <v>1032</v>
      </c>
      <c r="I700" s="821" t="s">
        <v>1088</v>
      </c>
      <c r="J700" s="821" t="s">
        <v>885</v>
      </c>
      <c r="K700" s="821" t="s">
        <v>886</v>
      </c>
      <c r="L700" s="821" t="s">
        <v>1088</v>
      </c>
      <c r="M700" s="821" t="s">
        <v>1108</v>
      </c>
      <c r="N700" s="821" t="s">
        <v>888</v>
      </c>
      <c r="O700" s="821" t="s">
        <v>886</v>
      </c>
      <c r="P700" s="533">
        <v>12604</v>
      </c>
      <c r="Q700" s="820">
        <v>-126.04</v>
      </c>
      <c r="R700" t="str">
        <f t="shared" si="16"/>
        <v>201712</v>
      </c>
      <c r="S700" s="405">
        <f>-Q700</f>
        <v>126.04</v>
      </c>
    </row>
    <row r="701" spans="1:19">
      <c r="A701" s="821" t="s">
        <v>877</v>
      </c>
      <c r="B701" s="821" t="s">
        <v>878</v>
      </c>
      <c r="C701" s="821" t="s">
        <v>879</v>
      </c>
      <c r="D701" s="821" t="s">
        <v>880</v>
      </c>
      <c r="E701" s="821" t="s">
        <v>880</v>
      </c>
      <c r="F701" s="821" t="s">
        <v>881</v>
      </c>
      <c r="G701" s="821" t="s">
        <v>882</v>
      </c>
      <c r="H701" s="821" t="s">
        <v>1032</v>
      </c>
      <c r="I701" s="821" t="s">
        <v>1089</v>
      </c>
      <c r="J701" s="821" t="s">
        <v>885</v>
      </c>
      <c r="K701" s="821" t="s">
        <v>886</v>
      </c>
      <c r="L701" s="821" t="s">
        <v>1089</v>
      </c>
      <c r="M701" s="821" t="s">
        <v>1108</v>
      </c>
      <c r="N701" s="821" t="s">
        <v>886</v>
      </c>
      <c r="O701" s="821" t="s">
        <v>886</v>
      </c>
      <c r="P701" s="533">
        <v>165215</v>
      </c>
      <c r="Q701" s="820">
        <v>1652.15</v>
      </c>
      <c r="R701" t="str">
        <f t="shared" si="16"/>
        <v>201712</v>
      </c>
      <c r="S701" s="405">
        <f>Q701</f>
        <v>1652.15</v>
      </c>
    </row>
    <row r="702" spans="1:19">
      <c r="A702" s="821" t="s">
        <v>877</v>
      </c>
      <c r="B702" s="821" t="s">
        <v>878</v>
      </c>
      <c r="C702" s="821" t="s">
        <v>879</v>
      </c>
      <c r="D702" s="821" t="s">
        <v>880</v>
      </c>
      <c r="E702" s="821" t="s">
        <v>880</v>
      </c>
      <c r="F702" s="821" t="s">
        <v>881</v>
      </c>
      <c r="G702" s="821" t="s">
        <v>882</v>
      </c>
      <c r="H702" s="821" t="s">
        <v>1032</v>
      </c>
      <c r="I702" s="821" t="s">
        <v>1090</v>
      </c>
      <c r="J702" s="821" t="s">
        <v>885</v>
      </c>
      <c r="K702" s="821" t="s">
        <v>886</v>
      </c>
      <c r="L702" s="821" t="s">
        <v>1090</v>
      </c>
      <c r="M702" s="821" t="s">
        <v>1108</v>
      </c>
      <c r="N702" s="821" t="s">
        <v>888</v>
      </c>
      <c r="O702" s="821" t="s">
        <v>886</v>
      </c>
      <c r="P702" s="533">
        <v>144972</v>
      </c>
      <c r="Q702" s="820">
        <v>-1449.72</v>
      </c>
      <c r="R702" t="str">
        <f t="shared" si="16"/>
        <v>201712</v>
      </c>
      <c r="S702" s="405">
        <f>-Q702</f>
        <v>1449.72</v>
      </c>
    </row>
    <row r="703" spans="1:19">
      <c r="A703" s="821" t="s">
        <v>877</v>
      </c>
      <c r="B703" s="821" t="s">
        <v>878</v>
      </c>
      <c r="C703" s="821" t="s">
        <v>879</v>
      </c>
      <c r="D703" s="821" t="s">
        <v>880</v>
      </c>
      <c r="E703" s="821" t="s">
        <v>880</v>
      </c>
      <c r="F703" s="821" t="s">
        <v>881</v>
      </c>
      <c r="G703" s="821" t="s">
        <v>882</v>
      </c>
      <c r="H703" s="821" t="s">
        <v>1032</v>
      </c>
      <c r="I703" s="821" t="s">
        <v>1091</v>
      </c>
      <c r="J703" s="821" t="s">
        <v>885</v>
      </c>
      <c r="K703" s="821" t="s">
        <v>886</v>
      </c>
      <c r="L703" s="821" t="s">
        <v>1091</v>
      </c>
      <c r="M703" s="821" t="s">
        <v>1108</v>
      </c>
      <c r="N703" s="821" t="s">
        <v>886</v>
      </c>
      <c r="O703" s="821" t="s">
        <v>886</v>
      </c>
      <c r="P703" s="533">
        <v>69527</v>
      </c>
      <c r="Q703" s="820">
        <v>695.27</v>
      </c>
      <c r="R703" t="str">
        <f t="shared" si="16"/>
        <v>201712</v>
      </c>
      <c r="S703" s="405">
        <f>Q703</f>
        <v>695.27</v>
      </c>
    </row>
    <row r="704" spans="1:19">
      <c r="A704" s="821" t="s">
        <v>877</v>
      </c>
      <c r="B704" s="821" t="s">
        <v>878</v>
      </c>
      <c r="C704" s="821" t="s">
        <v>879</v>
      </c>
      <c r="D704" s="821" t="s">
        <v>880</v>
      </c>
      <c r="E704" s="821" t="s">
        <v>880</v>
      </c>
      <c r="F704" s="821" t="s">
        <v>881</v>
      </c>
      <c r="G704" s="821" t="s">
        <v>882</v>
      </c>
      <c r="H704" s="821" t="s">
        <v>1032</v>
      </c>
      <c r="I704" s="821" t="s">
        <v>1092</v>
      </c>
      <c r="J704" s="821" t="s">
        <v>885</v>
      </c>
      <c r="K704" s="821" t="s">
        <v>886</v>
      </c>
      <c r="L704" s="821" t="s">
        <v>1092</v>
      </c>
      <c r="M704" s="821" t="s">
        <v>1108</v>
      </c>
      <c r="N704" s="821" t="s">
        <v>888</v>
      </c>
      <c r="O704" s="821" t="s">
        <v>886</v>
      </c>
      <c r="P704" s="533">
        <v>50120945</v>
      </c>
      <c r="Q704" s="794">
        <v>-501209.45</v>
      </c>
      <c r="R704" t="str">
        <f t="shared" si="16"/>
        <v>201712</v>
      </c>
      <c r="S704" s="405">
        <f>-Q704</f>
        <v>501209.45</v>
      </c>
    </row>
    <row r="705" spans="17:17">
      <c r="Q705" s="82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topLeftCell="A60" workbookViewId="0">
      <selection activeCell="E62" sqref="E62"/>
    </sheetView>
  </sheetViews>
  <sheetFormatPr baseColWidth="10" defaultRowHeight="15"/>
  <cols>
    <col min="1" max="1" width="28.85546875" customWidth="1"/>
    <col min="2" max="2" width="14.5703125" bestFit="1" customWidth="1"/>
    <col min="6" max="6" width="13.28515625" customWidth="1"/>
    <col min="9" max="9" width="14.5703125" customWidth="1"/>
    <col min="10" max="10" width="14.28515625" bestFit="1" customWidth="1"/>
    <col min="11" max="11" width="16.28515625" customWidth="1"/>
    <col min="12" max="12" width="13.140625" bestFit="1" customWidth="1"/>
    <col min="13" max="13" width="13.7109375" customWidth="1"/>
    <col min="14" max="14" width="15" customWidth="1"/>
    <col min="26" max="26" width="13.5703125" customWidth="1"/>
    <col min="28" max="28" width="16.28515625" customWidth="1"/>
    <col min="30" max="30" width="16.85546875" customWidth="1"/>
    <col min="33" max="33" width="14" customWidth="1"/>
    <col min="36" max="36" width="13.5703125" customWidth="1"/>
    <col min="43" max="43" width="13.140625" bestFit="1" customWidth="1"/>
  </cols>
  <sheetData>
    <row r="1" spans="1:44" ht="15.75" thickBot="1"/>
    <row r="2" spans="1:44" ht="78" thickTop="1" thickBot="1">
      <c r="A2" s="861" t="s">
        <v>1158</v>
      </c>
      <c r="B2" s="862" t="s">
        <v>1159</v>
      </c>
      <c r="C2" s="862" t="s">
        <v>1160</v>
      </c>
      <c r="D2" s="863" t="s">
        <v>1161</v>
      </c>
      <c r="E2" s="863" t="s">
        <v>1162</v>
      </c>
      <c r="F2" s="864" t="s">
        <v>1163</v>
      </c>
      <c r="G2" s="865" t="s">
        <v>1164</v>
      </c>
      <c r="H2" s="865" t="s">
        <v>1165</v>
      </c>
      <c r="I2" s="865" t="s">
        <v>1166</v>
      </c>
      <c r="J2" s="865" t="s">
        <v>860</v>
      </c>
      <c r="K2" s="865" t="s">
        <v>1167</v>
      </c>
      <c r="L2" s="865" t="s">
        <v>1168</v>
      </c>
      <c r="M2" s="866" t="s">
        <v>1169</v>
      </c>
      <c r="N2" s="865" t="s">
        <v>1170</v>
      </c>
      <c r="O2" s="861" t="s">
        <v>1171</v>
      </c>
      <c r="P2" s="861" t="s">
        <v>1172</v>
      </c>
      <c r="Q2" s="863" t="s">
        <v>1173</v>
      </c>
      <c r="R2" s="861" t="s">
        <v>1174</v>
      </c>
      <c r="S2" s="861" t="s">
        <v>1175</v>
      </c>
      <c r="T2" s="867" t="s">
        <v>1176</v>
      </c>
      <c r="U2" s="867" t="s">
        <v>1177</v>
      </c>
      <c r="V2" s="867" t="s">
        <v>1178</v>
      </c>
      <c r="W2" s="867" t="s">
        <v>1179</v>
      </c>
      <c r="X2" s="867" t="s">
        <v>1175</v>
      </c>
      <c r="Y2" s="868" t="s">
        <v>1180</v>
      </c>
      <c r="Z2" s="869" t="s">
        <v>1181</v>
      </c>
      <c r="AA2" s="870" t="s">
        <v>1182</v>
      </c>
      <c r="AB2" s="871" t="s">
        <v>1183</v>
      </c>
      <c r="AC2" s="869" t="s">
        <v>1184</v>
      </c>
      <c r="AD2" s="871" t="s">
        <v>1185</v>
      </c>
      <c r="AE2" s="871" t="s">
        <v>1186</v>
      </c>
      <c r="AF2" s="871" t="s">
        <v>1187</v>
      </c>
      <c r="AG2" s="872" t="s">
        <v>1188</v>
      </c>
      <c r="AH2" s="873" t="s">
        <v>1189</v>
      </c>
      <c r="AI2" s="871" t="s">
        <v>1190</v>
      </c>
      <c r="AJ2" s="871" t="s">
        <v>1191</v>
      </c>
      <c r="AK2" s="871" t="s">
        <v>1192</v>
      </c>
      <c r="AL2" s="871" t="s">
        <v>1193</v>
      </c>
      <c r="AM2" s="872" t="s">
        <v>1194</v>
      </c>
      <c r="AN2" s="871" t="s">
        <v>1195</v>
      </c>
      <c r="AO2" s="871" t="s">
        <v>1196</v>
      </c>
      <c r="AP2" s="872" t="s">
        <v>1197</v>
      </c>
      <c r="AQ2" s="874" t="s">
        <v>1198</v>
      </c>
      <c r="AR2" s="874" t="s">
        <v>1199</v>
      </c>
    </row>
    <row r="3" spans="1:44" ht="15.75" thickTop="1">
      <c r="A3" s="830">
        <v>1</v>
      </c>
      <c r="B3" s="831" t="s">
        <v>1114</v>
      </c>
      <c r="C3" s="832" t="s">
        <v>1115</v>
      </c>
      <c r="D3" s="833">
        <v>43098</v>
      </c>
      <c r="E3" s="833" t="s">
        <v>711</v>
      </c>
      <c r="F3" s="830" t="s">
        <v>841</v>
      </c>
      <c r="G3" s="830" t="s">
        <v>1116</v>
      </c>
      <c r="H3" s="830" t="s">
        <v>1117</v>
      </c>
      <c r="I3" s="830"/>
      <c r="J3" s="830" t="s">
        <v>1118</v>
      </c>
      <c r="K3" s="830"/>
      <c r="L3" s="830" t="s">
        <v>1119</v>
      </c>
      <c r="M3" s="834">
        <v>4.375</v>
      </c>
      <c r="N3" s="830" t="s">
        <v>1120</v>
      </c>
      <c r="O3" s="833">
        <v>41075</v>
      </c>
      <c r="P3" s="833">
        <v>44727</v>
      </c>
      <c r="Q3" s="833">
        <v>43024</v>
      </c>
      <c r="R3" s="833">
        <v>43086</v>
      </c>
      <c r="S3" s="833"/>
      <c r="T3" s="830">
        <v>74</v>
      </c>
      <c r="U3" s="830">
        <v>1703</v>
      </c>
      <c r="V3" s="830">
        <v>31</v>
      </c>
      <c r="W3" s="830">
        <v>12</v>
      </c>
      <c r="X3" s="830"/>
      <c r="Y3" s="835">
        <v>1</v>
      </c>
      <c r="Z3" s="945">
        <v>550000</v>
      </c>
      <c r="AA3" s="837">
        <v>108.1</v>
      </c>
      <c r="AB3" s="836">
        <v>594550</v>
      </c>
      <c r="AC3" s="836">
        <v>8087.67</v>
      </c>
      <c r="AD3" s="836">
        <v>602637.67000000004</v>
      </c>
      <c r="AE3" s="836">
        <v>44550</v>
      </c>
      <c r="AF3" s="837">
        <v>106.53100000000001</v>
      </c>
      <c r="AG3" s="836">
        <v>585920.5</v>
      </c>
      <c r="AH3" s="836">
        <v>268.1597181444522</v>
      </c>
      <c r="AI3" s="837">
        <v>106.702</v>
      </c>
      <c r="AJ3" s="836">
        <v>586861</v>
      </c>
      <c r="AK3" s="836">
        <v>26.15971814445097</v>
      </c>
      <c r="AL3" s="836">
        <v>1935.8191426893718</v>
      </c>
      <c r="AM3" s="836">
        <v>42614.180857310625</v>
      </c>
      <c r="AN3" s="836">
        <v>66.840277777777771</v>
      </c>
      <c r="AO3" s="836"/>
      <c r="AP3" s="836">
        <v>802.08333333333326</v>
      </c>
      <c r="AQ3" s="876">
        <v>585814.01300000004</v>
      </c>
      <c r="AR3" s="836">
        <f>AG3-AB3+AL3</f>
        <v>-6693.6808573106282</v>
      </c>
    </row>
    <row r="4" spans="1:44">
      <c r="A4" s="830">
        <v>2</v>
      </c>
      <c r="B4" s="831" t="s">
        <v>1121</v>
      </c>
      <c r="C4" s="832" t="s">
        <v>1122</v>
      </c>
      <c r="D4" s="833">
        <v>43098</v>
      </c>
      <c r="E4" s="833" t="s">
        <v>711</v>
      </c>
      <c r="F4" s="830" t="s">
        <v>846</v>
      </c>
      <c r="G4" s="830" t="s">
        <v>1116</v>
      </c>
      <c r="H4" s="830" t="s">
        <v>1123</v>
      </c>
      <c r="I4" s="830"/>
      <c r="J4" s="830" t="s">
        <v>1124</v>
      </c>
      <c r="K4" s="830"/>
      <c r="L4" s="830" t="s">
        <v>1125</v>
      </c>
      <c r="M4" s="834">
        <v>1.5</v>
      </c>
      <c r="N4" s="830" t="s">
        <v>1120</v>
      </c>
      <c r="O4" s="833">
        <v>40786</v>
      </c>
      <c r="P4" s="833">
        <v>43343</v>
      </c>
      <c r="Q4" s="833">
        <v>43073</v>
      </c>
      <c r="R4" s="833">
        <v>42980</v>
      </c>
      <c r="S4" s="833"/>
      <c r="T4" s="830">
        <v>25</v>
      </c>
      <c r="U4" s="830">
        <v>270</v>
      </c>
      <c r="V4" s="830">
        <v>31</v>
      </c>
      <c r="W4" s="830">
        <v>118</v>
      </c>
      <c r="X4" s="830"/>
      <c r="Y4" s="835">
        <v>1</v>
      </c>
      <c r="Z4" s="945">
        <v>4000000</v>
      </c>
      <c r="AA4" s="837">
        <v>99.955078000000015</v>
      </c>
      <c r="AB4" s="836">
        <v>3998203.1200000006</v>
      </c>
      <c r="AC4" s="836">
        <v>15745.84</v>
      </c>
      <c r="AD4" s="836">
        <v>4013948.9600000004</v>
      </c>
      <c r="AE4" s="836">
        <v>-1796.8799999994226</v>
      </c>
      <c r="AF4" s="837">
        <v>99.884</v>
      </c>
      <c r="AG4" s="836">
        <v>3995360</v>
      </c>
      <c r="AH4" s="836">
        <v>193.34488888876513</v>
      </c>
      <c r="AI4" s="837">
        <v>100.378</v>
      </c>
      <c r="AJ4" s="836">
        <v>4015119.9999999995</v>
      </c>
      <c r="AK4" s="836">
        <v>-6.6551111111089725</v>
      </c>
      <c r="AL4" s="836">
        <v>-166.3777777777243</v>
      </c>
      <c r="AM4" s="836">
        <v>-1630.5022222216983</v>
      </c>
      <c r="AN4" s="836">
        <v>166.66666666666666</v>
      </c>
      <c r="AO4" s="836"/>
      <c r="AP4" s="836">
        <v>19666.666666666664</v>
      </c>
      <c r="AQ4" s="876">
        <v>3995260.1209999998</v>
      </c>
      <c r="AR4" s="836">
        <f t="shared" ref="AR4:AR18" si="0">AG4-AB4+AL4</f>
        <v>-3009.4977777783015</v>
      </c>
    </row>
    <row r="5" spans="1:44">
      <c r="A5" s="830">
        <v>3</v>
      </c>
      <c r="B5" s="831" t="s">
        <v>1126</v>
      </c>
      <c r="C5" s="832" t="s">
        <v>1127</v>
      </c>
      <c r="D5" s="833">
        <v>43098</v>
      </c>
      <c r="E5" s="833" t="s">
        <v>711</v>
      </c>
      <c r="F5" s="830" t="s">
        <v>713</v>
      </c>
      <c r="G5" s="830" t="s">
        <v>1116</v>
      </c>
      <c r="H5" s="830" t="s">
        <v>1128</v>
      </c>
      <c r="I5" s="830"/>
      <c r="J5" s="830" t="s">
        <v>1129</v>
      </c>
      <c r="K5" s="830"/>
      <c r="L5" s="830" t="s">
        <v>1130</v>
      </c>
      <c r="M5" s="834">
        <v>6.25</v>
      </c>
      <c r="N5" s="830" t="s">
        <v>1120</v>
      </c>
      <c r="O5" s="833">
        <v>41739</v>
      </c>
      <c r="P5" s="833">
        <v>43565</v>
      </c>
      <c r="Q5" s="833">
        <v>42985</v>
      </c>
      <c r="R5" s="833">
        <v>43020</v>
      </c>
      <c r="S5" s="833"/>
      <c r="T5" s="830">
        <v>113</v>
      </c>
      <c r="U5" s="830">
        <v>580</v>
      </c>
      <c r="V5" s="830">
        <v>31</v>
      </c>
      <c r="W5" s="830">
        <v>78</v>
      </c>
      <c r="X5" s="830"/>
      <c r="Y5" s="835">
        <v>1</v>
      </c>
      <c r="Z5" s="836">
        <v>18000</v>
      </c>
      <c r="AA5" s="837">
        <v>103.43</v>
      </c>
      <c r="AB5" s="836">
        <v>18617.400000000001</v>
      </c>
      <c r="AC5" s="836">
        <v>459.37439999999998</v>
      </c>
      <c r="AD5" s="836">
        <v>19076.774400000002</v>
      </c>
      <c r="AE5" s="836">
        <v>617.40000000000146</v>
      </c>
      <c r="AF5" s="837">
        <v>103.176</v>
      </c>
      <c r="AG5" s="836">
        <v>18571.68</v>
      </c>
      <c r="AH5" s="836">
        <v>1.7844827586231986</v>
      </c>
      <c r="AI5" s="837">
        <v>104.547</v>
      </c>
      <c r="AJ5" s="836">
        <v>18818.46</v>
      </c>
      <c r="AK5" s="836">
        <v>1.0644827586206922</v>
      </c>
      <c r="AL5" s="836">
        <v>120.28655172413822</v>
      </c>
      <c r="AM5" s="836">
        <v>497.11344827586322</v>
      </c>
      <c r="AN5" s="836">
        <v>3.125</v>
      </c>
      <c r="AO5" s="836"/>
      <c r="AP5" s="836">
        <v>243.75</v>
      </c>
      <c r="AQ5" s="876">
        <v>18468.508000000002</v>
      </c>
      <c r="AR5" s="836">
        <f t="shared" si="0"/>
        <v>74.566551724137057</v>
      </c>
    </row>
    <row r="6" spans="1:44">
      <c r="A6" s="830">
        <v>4</v>
      </c>
      <c r="B6" s="831" t="s">
        <v>1126</v>
      </c>
      <c r="C6" s="832" t="s">
        <v>1131</v>
      </c>
      <c r="D6" s="833">
        <v>43098</v>
      </c>
      <c r="E6" s="833" t="s">
        <v>711</v>
      </c>
      <c r="F6" s="830" t="s">
        <v>713</v>
      </c>
      <c r="G6" s="830" t="s">
        <v>1116</v>
      </c>
      <c r="H6" s="830" t="s">
        <v>1128</v>
      </c>
      <c r="I6" s="830"/>
      <c r="J6" s="830" t="s">
        <v>1129</v>
      </c>
      <c r="K6" s="830"/>
      <c r="L6" s="830" t="s">
        <v>1130</v>
      </c>
      <c r="M6" s="834">
        <v>6.25</v>
      </c>
      <c r="N6" s="830" t="s">
        <v>1120</v>
      </c>
      <c r="O6" s="833">
        <v>41739</v>
      </c>
      <c r="P6" s="833">
        <v>43565</v>
      </c>
      <c r="Q6" s="833">
        <v>43041</v>
      </c>
      <c r="R6" s="833">
        <v>43020</v>
      </c>
      <c r="S6" s="833"/>
      <c r="T6" s="830">
        <v>57</v>
      </c>
      <c r="U6" s="830">
        <v>524</v>
      </c>
      <c r="V6" s="830">
        <v>31</v>
      </c>
      <c r="W6" s="830">
        <v>78</v>
      </c>
      <c r="X6" s="830"/>
      <c r="Y6" s="835">
        <v>1</v>
      </c>
      <c r="Z6" s="836">
        <v>100000</v>
      </c>
      <c r="AA6" s="837">
        <v>103.75</v>
      </c>
      <c r="AB6" s="836">
        <v>103750.00000000001</v>
      </c>
      <c r="AC6" s="836">
        <v>399.31</v>
      </c>
      <c r="AD6" s="836">
        <v>104149.31000000001</v>
      </c>
      <c r="AE6" s="836">
        <v>3750.0000000000146</v>
      </c>
      <c r="AF6" s="837">
        <v>103.176</v>
      </c>
      <c r="AG6" s="836">
        <v>103176</v>
      </c>
      <c r="AH6" s="836">
        <v>11.156488549619098</v>
      </c>
      <c r="AI6" s="837">
        <v>104.547</v>
      </c>
      <c r="AJ6" s="836">
        <v>104546.99999999999</v>
      </c>
      <c r="AK6" s="836">
        <v>7.1564885496183486</v>
      </c>
      <c r="AL6" s="836">
        <v>407.91984732824585</v>
      </c>
      <c r="AM6" s="836">
        <v>3342.0801526717687</v>
      </c>
      <c r="AN6" s="836">
        <v>17.361111111111111</v>
      </c>
      <c r="AO6" s="836"/>
      <c r="AP6" s="836">
        <v>1354.1666666666667</v>
      </c>
      <c r="AQ6" s="876">
        <v>103072.82799999999</v>
      </c>
      <c r="AR6" s="836">
        <f t="shared" si="0"/>
        <v>-166.0801526717687</v>
      </c>
    </row>
    <row r="7" spans="1:44">
      <c r="A7" s="830">
        <v>5</v>
      </c>
      <c r="B7" s="831" t="s">
        <v>1126</v>
      </c>
      <c r="C7" s="832" t="s">
        <v>1132</v>
      </c>
      <c r="D7" s="833">
        <v>43098</v>
      </c>
      <c r="E7" s="833" t="s">
        <v>711</v>
      </c>
      <c r="F7" s="830" t="s">
        <v>713</v>
      </c>
      <c r="G7" s="830" t="s">
        <v>1116</v>
      </c>
      <c r="H7" s="830" t="s">
        <v>1128</v>
      </c>
      <c r="I7" s="830"/>
      <c r="J7" s="830" t="s">
        <v>1129</v>
      </c>
      <c r="K7" s="830"/>
      <c r="L7" s="830" t="s">
        <v>1130</v>
      </c>
      <c r="M7" s="834">
        <v>6.25</v>
      </c>
      <c r="N7" s="830" t="s">
        <v>1120</v>
      </c>
      <c r="O7" s="833">
        <v>41739</v>
      </c>
      <c r="P7" s="833">
        <v>43565</v>
      </c>
      <c r="Q7" s="833">
        <v>43052</v>
      </c>
      <c r="R7" s="833">
        <v>43020</v>
      </c>
      <c r="S7" s="833"/>
      <c r="T7" s="830">
        <v>46</v>
      </c>
      <c r="U7" s="830">
        <v>513</v>
      </c>
      <c r="V7" s="830">
        <v>31</v>
      </c>
      <c r="W7" s="830">
        <v>78</v>
      </c>
      <c r="X7" s="830"/>
      <c r="Y7" s="835">
        <v>1</v>
      </c>
      <c r="Z7" s="945">
        <v>1082000</v>
      </c>
      <c r="AA7" s="837">
        <v>103.8</v>
      </c>
      <c r="AB7" s="836">
        <v>1123116</v>
      </c>
      <c r="AC7" s="836">
        <v>6198.96</v>
      </c>
      <c r="AD7" s="836">
        <v>1129314.96</v>
      </c>
      <c r="AE7" s="836">
        <v>41116</v>
      </c>
      <c r="AF7" s="837">
        <v>103.176</v>
      </c>
      <c r="AG7" s="836">
        <v>1116364.32</v>
      </c>
      <c r="AH7" s="836">
        <v>123.42814814811572</v>
      </c>
      <c r="AI7" s="837">
        <v>104.547</v>
      </c>
      <c r="AJ7" s="836">
        <v>1131198.5399999998</v>
      </c>
      <c r="AK7" s="836">
        <v>80.148148148148152</v>
      </c>
      <c r="AL7" s="836">
        <v>3686.8148148148148</v>
      </c>
      <c r="AM7" s="836">
        <v>37429.185185185182</v>
      </c>
      <c r="AN7" s="836">
        <v>187.84722222222223</v>
      </c>
      <c r="AO7" s="836"/>
      <c r="AP7" s="836">
        <v>14652.083333333334</v>
      </c>
      <c r="AQ7" s="876">
        <v>1116261.148</v>
      </c>
      <c r="AR7" s="836">
        <f t="shared" si="0"/>
        <v>-3064.86518518512</v>
      </c>
    </row>
    <row r="8" spans="1:44">
      <c r="A8" s="830">
        <v>6</v>
      </c>
      <c r="B8" s="831" t="s">
        <v>1126</v>
      </c>
      <c r="C8" s="832" t="s">
        <v>1133</v>
      </c>
      <c r="D8" s="833">
        <v>43098</v>
      </c>
      <c r="E8" s="833" t="s">
        <v>711</v>
      </c>
      <c r="F8" s="830" t="s">
        <v>713</v>
      </c>
      <c r="G8" s="830" t="s">
        <v>1116</v>
      </c>
      <c r="H8" s="830" t="s">
        <v>1128</v>
      </c>
      <c r="I8" s="830"/>
      <c r="J8" s="830" t="s">
        <v>1129</v>
      </c>
      <c r="K8" s="830"/>
      <c r="L8" s="830" t="s">
        <v>1130</v>
      </c>
      <c r="M8" s="834">
        <v>6.25</v>
      </c>
      <c r="N8" s="830" t="s">
        <v>1120</v>
      </c>
      <c r="O8" s="833">
        <v>41739</v>
      </c>
      <c r="P8" s="833">
        <v>43565</v>
      </c>
      <c r="Q8" s="833">
        <v>43074</v>
      </c>
      <c r="R8" s="833">
        <v>43020</v>
      </c>
      <c r="S8" s="833"/>
      <c r="T8" s="830">
        <v>24</v>
      </c>
      <c r="U8" s="830">
        <v>491</v>
      </c>
      <c r="V8" s="830">
        <v>31</v>
      </c>
      <c r="W8" s="830">
        <v>78</v>
      </c>
      <c r="X8" s="830"/>
      <c r="Y8" s="835">
        <v>1</v>
      </c>
      <c r="Z8" s="945">
        <v>200000</v>
      </c>
      <c r="AA8" s="837">
        <v>103</v>
      </c>
      <c r="AB8" s="836">
        <v>206000</v>
      </c>
      <c r="AC8" s="836">
        <v>1909.72</v>
      </c>
      <c r="AD8" s="836">
        <v>207909.72</v>
      </c>
      <c r="AE8" s="836">
        <v>6000</v>
      </c>
      <c r="AF8" s="837">
        <v>103.176</v>
      </c>
      <c r="AG8" s="836">
        <v>206352</v>
      </c>
      <c r="AH8" s="836">
        <v>20.219959266803926</v>
      </c>
      <c r="AI8" s="837">
        <v>104.547</v>
      </c>
      <c r="AJ8" s="836">
        <v>209093.99999999997</v>
      </c>
      <c r="AK8" s="836">
        <v>12.219959266802444</v>
      </c>
      <c r="AL8" s="836">
        <v>293.27902240325864</v>
      </c>
      <c r="AM8" s="836">
        <v>5706.7209775967412</v>
      </c>
      <c r="AN8" s="836">
        <v>34.722222222222221</v>
      </c>
      <c r="AO8" s="836"/>
      <c r="AP8" s="836">
        <v>2708.3333333333335</v>
      </c>
      <c r="AQ8" s="876">
        <v>206248.82800000001</v>
      </c>
      <c r="AR8" s="836">
        <f t="shared" si="0"/>
        <v>645.27902240325864</v>
      </c>
    </row>
    <row r="9" spans="1:44">
      <c r="A9" s="830">
        <v>7</v>
      </c>
      <c r="B9" s="831" t="s">
        <v>1134</v>
      </c>
      <c r="C9" s="832" t="s">
        <v>1135</v>
      </c>
      <c r="D9" s="833">
        <v>43098</v>
      </c>
      <c r="E9" s="833" t="s">
        <v>711</v>
      </c>
      <c r="F9" s="830" t="s">
        <v>706</v>
      </c>
      <c r="G9" s="830" t="s">
        <v>1116</v>
      </c>
      <c r="H9" s="830" t="s">
        <v>1136</v>
      </c>
      <c r="I9" s="830"/>
      <c r="J9" s="830" t="s">
        <v>1129</v>
      </c>
      <c r="K9" s="830"/>
      <c r="L9" s="830" t="s">
        <v>1137</v>
      </c>
      <c r="M9" s="834">
        <v>6.75</v>
      </c>
      <c r="N9" s="830" t="s">
        <v>1120</v>
      </c>
      <c r="O9" s="833">
        <v>42173</v>
      </c>
      <c r="P9" s="833">
        <v>44000</v>
      </c>
      <c r="Q9" s="833">
        <v>43035</v>
      </c>
      <c r="R9" s="833">
        <v>43089</v>
      </c>
      <c r="S9" s="833"/>
      <c r="T9" s="830">
        <v>63</v>
      </c>
      <c r="U9" s="830">
        <v>965</v>
      </c>
      <c r="V9" s="830">
        <v>31</v>
      </c>
      <c r="W9" s="830">
        <v>9</v>
      </c>
      <c r="X9" s="830"/>
      <c r="Y9" s="835">
        <v>1</v>
      </c>
      <c r="Z9" s="836">
        <v>270000</v>
      </c>
      <c r="AA9" s="837">
        <v>104</v>
      </c>
      <c r="AB9" s="836">
        <v>280800</v>
      </c>
      <c r="AC9" s="836">
        <v>6530.625</v>
      </c>
      <c r="AD9" s="836">
        <v>287330.625</v>
      </c>
      <c r="AE9" s="836">
        <v>10800</v>
      </c>
      <c r="AF9" s="837">
        <v>102.28100000000001</v>
      </c>
      <c r="AG9" s="836">
        <v>276158.7</v>
      </c>
      <c r="AH9" s="836">
        <v>46.291709844605066</v>
      </c>
      <c r="AI9" s="837">
        <v>102.48699999999999</v>
      </c>
      <c r="AJ9" s="836">
        <v>276714.89999999997</v>
      </c>
      <c r="AK9" s="836">
        <v>11.191709844559586</v>
      </c>
      <c r="AL9" s="836">
        <v>705.07772020725395</v>
      </c>
      <c r="AM9" s="836">
        <v>10094.922279792747</v>
      </c>
      <c r="AN9" s="836">
        <v>50.625</v>
      </c>
      <c r="AO9" s="836"/>
      <c r="AP9" s="836">
        <v>455.625</v>
      </c>
      <c r="AQ9" s="877">
        <v>276056.43200000003</v>
      </c>
      <c r="AR9" s="836">
        <f t="shared" si="0"/>
        <v>-3936.2222797927343</v>
      </c>
    </row>
    <row r="10" spans="1:44">
      <c r="A10" s="830">
        <v>8</v>
      </c>
      <c r="B10" s="831" t="s">
        <v>1134</v>
      </c>
      <c r="C10" s="832" t="s">
        <v>1138</v>
      </c>
      <c r="D10" s="833">
        <v>43098</v>
      </c>
      <c r="E10" s="833" t="s">
        <v>711</v>
      </c>
      <c r="F10" s="830" t="s">
        <v>706</v>
      </c>
      <c r="G10" s="830" t="s">
        <v>1116</v>
      </c>
      <c r="H10" s="830" t="s">
        <v>1136</v>
      </c>
      <c r="I10" s="830"/>
      <c r="J10" s="830" t="s">
        <v>1129</v>
      </c>
      <c r="K10" s="830"/>
      <c r="L10" s="830" t="s">
        <v>1137</v>
      </c>
      <c r="M10" s="834">
        <v>6.75</v>
      </c>
      <c r="N10" s="830" t="s">
        <v>1120</v>
      </c>
      <c r="O10" s="833">
        <v>42173</v>
      </c>
      <c r="P10" s="833">
        <v>44000</v>
      </c>
      <c r="Q10" s="833">
        <v>43061</v>
      </c>
      <c r="R10" s="833">
        <v>43089</v>
      </c>
      <c r="S10" s="833"/>
      <c r="T10" s="830">
        <v>37</v>
      </c>
      <c r="U10" s="830">
        <v>939</v>
      </c>
      <c r="V10" s="830">
        <v>31</v>
      </c>
      <c r="W10" s="830">
        <v>9</v>
      </c>
      <c r="X10" s="830"/>
      <c r="Y10" s="835">
        <v>1</v>
      </c>
      <c r="Z10" s="836">
        <v>200000</v>
      </c>
      <c r="AA10" s="837">
        <v>103</v>
      </c>
      <c r="AB10" s="836">
        <v>206000</v>
      </c>
      <c r="AC10" s="836">
        <v>5775</v>
      </c>
      <c r="AD10" s="836">
        <v>211775</v>
      </c>
      <c r="AE10" s="836">
        <v>6000</v>
      </c>
      <c r="AF10" s="837">
        <v>102.28100000000001</v>
      </c>
      <c r="AG10" s="836">
        <v>204562</v>
      </c>
      <c r="AH10" s="836">
        <v>32.389776357827941</v>
      </c>
      <c r="AI10" s="837">
        <v>102.48699999999999</v>
      </c>
      <c r="AJ10" s="836">
        <v>204974</v>
      </c>
      <c r="AK10" s="836">
        <v>6.3897763578274764</v>
      </c>
      <c r="AL10" s="836">
        <v>236.42172523961662</v>
      </c>
      <c r="AM10" s="836">
        <v>5763.5782747603835</v>
      </c>
      <c r="AN10" s="836">
        <v>37.5</v>
      </c>
      <c r="AO10" s="836"/>
      <c r="AP10" s="836">
        <v>337.5</v>
      </c>
      <c r="AQ10" s="877">
        <v>204459.73199999999</v>
      </c>
      <c r="AR10" s="836">
        <f t="shared" si="0"/>
        <v>-1201.5782747603835</v>
      </c>
    </row>
    <row r="11" spans="1:44">
      <c r="A11" s="830">
        <v>9</v>
      </c>
      <c r="B11" s="831" t="s">
        <v>1134</v>
      </c>
      <c r="C11" s="832" t="s">
        <v>1139</v>
      </c>
      <c r="D11" s="833">
        <v>43098</v>
      </c>
      <c r="E11" s="833" t="s">
        <v>711</v>
      </c>
      <c r="F11" s="830" t="s">
        <v>706</v>
      </c>
      <c r="G11" s="830" t="s">
        <v>1116</v>
      </c>
      <c r="H11" s="830" t="s">
        <v>1136</v>
      </c>
      <c r="I11" s="830"/>
      <c r="J11" s="830" t="s">
        <v>1129</v>
      </c>
      <c r="K11" s="830"/>
      <c r="L11" s="830" t="s">
        <v>1137</v>
      </c>
      <c r="M11" s="834">
        <v>6.75</v>
      </c>
      <c r="N11" s="830" t="s">
        <v>1120</v>
      </c>
      <c r="O11" s="833">
        <v>42173</v>
      </c>
      <c r="P11" s="833">
        <v>44000</v>
      </c>
      <c r="Q11" s="833">
        <v>43070</v>
      </c>
      <c r="R11" s="833">
        <v>43089</v>
      </c>
      <c r="S11" s="833"/>
      <c r="T11" s="830">
        <v>28</v>
      </c>
      <c r="U11" s="830">
        <v>930</v>
      </c>
      <c r="V11" s="830">
        <v>31</v>
      </c>
      <c r="W11" s="830">
        <v>9</v>
      </c>
      <c r="X11" s="830"/>
      <c r="Y11" s="835">
        <v>1</v>
      </c>
      <c r="Z11" s="836">
        <v>250000</v>
      </c>
      <c r="AA11" s="837">
        <v>102.85</v>
      </c>
      <c r="AB11" s="836">
        <v>257125</v>
      </c>
      <c r="AC11" s="836">
        <v>7640.625</v>
      </c>
      <c r="AD11" s="836">
        <v>264765.625</v>
      </c>
      <c r="AE11" s="836">
        <v>7125</v>
      </c>
      <c r="AF11" s="837">
        <v>102.28100000000001</v>
      </c>
      <c r="AG11" s="836">
        <v>255702.5</v>
      </c>
      <c r="AH11" s="836">
        <v>40.161290322575951</v>
      </c>
      <c r="AI11" s="837">
        <v>102.48699999999999</v>
      </c>
      <c r="AJ11" s="836">
        <v>256217.5</v>
      </c>
      <c r="AK11" s="836">
        <v>7.661290322580645</v>
      </c>
      <c r="AL11" s="836">
        <v>214.51612903225805</v>
      </c>
      <c r="AM11" s="836">
        <v>6910.4838709677424</v>
      </c>
      <c r="AN11" s="836">
        <v>46.875</v>
      </c>
      <c r="AO11" s="836"/>
      <c r="AP11" s="836">
        <v>421.875</v>
      </c>
      <c r="AQ11" s="877">
        <v>255600.23199999999</v>
      </c>
      <c r="AR11" s="836">
        <f t="shared" si="0"/>
        <v>-1207.983870967742</v>
      </c>
    </row>
    <row r="12" spans="1:44">
      <c r="A12" s="830">
        <v>10</v>
      </c>
      <c r="B12" s="831" t="s">
        <v>1134</v>
      </c>
      <c r="C12" s="832" t="s">
        <v>1140</v>
      </c>
      <c r="D12" s="833">
        <v>43098</v>
      </c>
      <c r="E12" s="833" t="s">
        <v>711</v>
      </c>
      <c r="F12" s="830" t="s">
        <v>706</v>
      </c>
      <c r="G12" s="830" t="s">
        <v>1116</v>
      </c>
      <c r="H12" s="830" t="s">
        <v>1136</v>
      </c>
      <c r="I12" s="830"/>
      <c r="J12" s="830" t="s">
        <v>1129</v>
      </c>
      <c r="K12" s="830"/>
      <c r="L12" s="830" t="s">
        <v>1137</v>
      </c>
      <c r="M12" s="834">
        <v>6.75</v>
      </c>
      <c r="N12" s="830" t="s">
        <v>1120</v>
      </c>
      <c r="O12" s="833">
        <v>42173</v>
      </c>
      <c r="P12" s="833">
        <v>44000</v>
      </c>
      <c r="Q12" s="833">
        <v>43077</v>
      </c>
      <c r="R12" s="833">
        <v>43089</v>
      </c>
      <c r="S12" s="833"/>
      <c r="T12" s="830">
        <v>21</v>
      </c>
      <c r="U12" s="830">
        <v>923</v>
      </c>
      <c r="V12" s="830">
        <v>31</v>
      </c>
      <c r="W12" s="830">
        <v>9</v>
      </c>
      <c r="X12" s="830"/>
      <c r="Y12" s="835">
        <v>1</v>
      </c>
      <c r="Z12" s="836">
        <v>400000</v>
      </c>
      <c r="AA12" s="837">
        <v>102.7</v>
      </c>
      <c r="AB12" s="836">
        <v>410800.00000000006</v>
      </c>
      <c r="AC12" s="836">
        <v>12750</v>
      </c>
      <c r="AD12" s="836">
        <v>423550.00000000006</v>
      </c>
      <c r="AE12" s="836">
        <v>10800.000000000058</v>
      </c>
      <c r="AF12" s="837">
        <v>102.28100000000001</v>
      </c>
      <c r="AG12" s="836">
        <v>409124</v>
      </c>
      <c r="AH12" s="836">
        <v>63.700975081243087</v>
      </c>
      <c r="AI12" s="837">
        <v>102.48699999999999</v>
      </c>
      <c r="AJ12" s="836">
        <v>409948</v>
      </c>
      <c r="AK12" s="836">
        <v>11.700975081256834</v>
      </c>
      <c r="AL12" s="836">
        <v>245.7204767063935</v>
      </c>
      <c r="AM12" s="836">
        <v>10554.279523293664</v>
      </c>
      <c r="AN12" s="836">
        <v>75</v>
      </c>
      <c r="AO12" s="836"/>
      <c r="AP12" s="836">
        <v>675</v>
      </c>
      <c r="AQ12" s="877">
        <v>409021.73200000002</v>
      </c>
      <c r="AR12" s="836">
        <f t="shared" si="0"/>
        <v>-1430.2795232936646</v>
      </c>
    </row>
    <row r="13" spans="1:44">
      <c r="A13" s="830">
        <v>11</v>
      </c>
      <c r="B13" s="831" t="s">
        <v>1134</v>
      </c>
      <c r="C13" s="832" t="s">
        <v>1141</v>
      </c>
      <c r="D13" s="833">
        <v>43098</v>
      </c>
      <c r="E13" s="833" t="s">
        <v>711</v>
      </c>
      <c r="F13" s="830" t="s">
        <v>706</v>
      </c>
      <c r="G13" s="830" t="s">
        <v>1116</v>
      </c>
      <c r="H13" s="830" t="s">
        <v>1136</v>
      </c>
      <c r="I13" s="830"/>
      <c r="J13" s="830" t="s">
        <v>1129</v>
      </c>
      <c r="K13" s="830"/>
      <c r="L13" s="830" t="s">
        <v>1137</v>
      </c>
      <c r="M13" s="834">
        <v>6.75</v>
      </c>
      <c r="N13" s="830" t="s">
        <v>1120</v>
      </c>
      <c r="O13" s="833">
        <v>42173</v>
      </c>
      <c r="P13" s="833">
        <v>44000</v>
      </c>
      <c r="Q13" s="833">
        <v>43083</v>
      </c>
      <c r="R13" s="833">
        <v>43089</v>
      </c>
      <c r="S13" s="833"/>
      <c r="T13" s="830">
        <v>15</v>
      </c>
      <c r="U13" s="830">
        <v>917</v>
      </c>
      <c r="V13" s="830">
        <v>31</v>
      </c>
      <c r="W13" s="830">
        <v>9</v>
      </c>
      <c r="X13" s="830"/>
      <c r="Y13" s="835">
        <v>1</v>
      </c>
      <c r="Z13" s="836">
        <v>200000</v>
      </c>
      <c r="AA13" s="837">
        <v>102.33</v>
      </c>
      <c r="AB13" s="836">
        <v>204659.99999999997</v>
      </c>
      <c r="AC13" s="836">
        <v>6600</v>
      </c>
      <c r="AD13" s="836">
        <v>211259.99999999997</v>
      </c>
      <c r="AE13" s="836">
        <v>4659.9999999999709</v>
      </c>
      <c r="AF13" s="837">
        <v>102.28100000000001</v>
      </c>
      <c r="AG13" s="836">
        <v>204562</v>
      </c>
      <c r="AH13" s="836">
        <v>31.081788440555101</v>
      </c>
      <c r="AI13" s="837">
        <v>102.48699999999999</v>
      </c>
      <c r="AJ13" s="836">
        <v>204974</v>
      </c>
      <c r="AK13" s="836">
        <v>5.0817884405670348</v>
      </c>
      <c r="AL13" s="836">
        <v>76.226826608505519</v>
      </c>
      <c r="AM13" s="836">
        <v>4583.7731733914652</v>
      </c>
      <c r="AN13" s="836">
        <v>37.5</v>
      </c>
      <c r="AO13" s="836"/>
      <c r="AP13" s="836">
        <v>337.5</v>
      </c>
      <c r="AQ13" s="877">
        <v>204459.73199999999</v>
      </c>
      <c r="AR13" s="836">
        <f t="shared" si="0"/>
        <v>-21.773173391465377</v>
      </c>
    </row>
    <row r="14" spans="1:44">
      <c r="A14" s="830">
        <v>12</v>
      </c>
      <c r="B14" s="831" t="s">
        <v>1134</v>
      </c>
      <c r="C14" s="832" t="s">
        <v>1142</v>
      </c>
      <c r="D14" s="833">
        <v>43098</v>
      </c>
      <c r="E14" s="833" t="s">
        <v>711</v>
      </c>
      <c r="F14" s="830" t="s">
        <v>706</v>
      </c>
      <c r="G14" s="830" t="s">
        <v>1116</v>
      </c>
      <c r="H14" s="830" t="s">
        <v>1136</v>
      </c>
      <c r="I14" s="830"/>
      <c r="J14" s="830" t="s">
        <v>1129</v>
      </c>
      <c r="K14" s="830"/>
      <c r="L14" s="830" t="s">
        <v>1137</v>
      </c>
      <c r="M14" s="834">
        <v>6.75</v>
      </c>
      <c r="N14" s="830" t="s">
        <v>1120</v>
      </c>
      <c r="O14" s="833">
        <v>42173</v>
      </c>
      <c r="P14" s="833">
        <v>44000</v>
      </c>
      <c r="Q14" s="833">
        <v>43096</v>
      </c>
      <c r="R14" s="833">
        <v>43089</v>
      </c>
      <c r="S14" s="833"/>
      <c r="T14" s="830">
        <v>2</v>
      </c>
      <c r="U14" s="830">
        <v>904</v>
      </c>
      <c r="V14" s="830">
        <v>31</v>
      </c>
      <c r="W14" s="830">
        <v>9</v>
      </c>
      <c r="X14" s="830"/>
      <c r="Y14" s="835">
        <v>1</v>
      </c>
      <c r="Z14" s="945">
        <v>245000</v>
      </c>
      <c r="AA14" s="837">
        <v>101.97499999999999</v>
      </c>
      <c r="AB14" s="836">
        <v>249838.74999999997</v>
      </c>
      <c r="AC14" s="836">
        <v>413.4375</v>
      </c>
      <c r="AD14" s="836">
        <v>250252.18749999997</v>
      </c>
      <c r="AE14" s="836">
        <v>4838.7499999999709</v>
      </c>
      <c r="AF14" s="837">
        <v>102.28100000000001</v>
      </c>
      <c r="AG14" s="836">
        <v>250588.45</v>
      </c>
      <c r="AH14" s="836">
        <v>37.202599557524081</v>
      </c>
      <c r="AI14" s="837">
        <v>102.48699999999999</v>
      </c>
      <c r="AJ14" s="836">
        <v>251093.15</v>
      </c>
      <c r="AK14" s="836">
        <v>5.3525995575220913</v>
      </c>
      <c r="AL14" s="836">
        <v>10.705199115044183</v>
      </c>
      <c r="AM14" s="836">
        <v>4828.0448008849271</v>
      </c>
      <c r="AN14" s="836">
        <v>45.9375</v>
      </c>
      <c r="AO14" s="836"/>
      <c r="AP14" s="836">
        <v>413.4375</v>
      </c>
      <c r="AQ14" s="877">
        <v>250486.182</v>
      </c>
      <c r="AR14" s="836">
        <f t="shared" si="0"/>
        <v>760.40519911508488</v>
      </c>
    </row>
    <row r="15" spans="1:44">
      <c r="A15" s="830">
        <v>13</v>
      </c>
      <c r="B15" s="831" t="s">
        <v>1143</v>
      </c>
      <c r="C15" s="832" t="s">
        <v>1144</v>
      </c>
      <c r="D15" s="833">
        <v>43098</v>
      </c>
      <c r="E15" s="833" t="s">
        <v>711</v>
      </c>
      <c r="F15" s="830" t="s">
        <v>842</v>
      </c>
      <c r="G15" s="830" t="s">
        <v>1116</v>
      </c>
      <c r="H15" s="830" t="s">
        <v>1145</v>
      </c>
      <c r="I15" s="830"/>
      <c r="J15" s="830" t="s">
        <v>1146</v>
      </c>
      <c r="K15" s="830"/>
      <c r="L15" s="830" t="s">
        <v>1147</v>
      </c>
      <c r="M15" s="834">
        <v>9.032</v>
      </c>
      <c r="N15" s="830" t="s">
        <v>1120</v>
      </c>
      <c r="O15" s="833">
        <v>40802</v>
      </c>
      <c r="P15" s="833">
        <v>46281</v>
      </c>
      <c r="Q15" s="833">
        <v>43080</v>
      </c>
      <c r="R15" s="833">
        <v>42996</v>
      </c>
      <c r="S15" s="833"/>
      <c r="T15" s="830">
        <v>18</v>
      </c>
      <c r="U15" s="830">
        <v>3201</v>
      </c>
      <c r="V15" s="830">
        <v>31</v>
      </c>
      <c r="W15" s="830">
        <v>102</v>
      </c>
      <c r="X15" s="830"/>
      <c r="Y15" s="835">
        <v>1</v>
      </c>
      <c r="Z15" s="945">
        <v>200000</v>
      </c>
      <c r="AA15" s="837">
        <v>112.65</v>
      </c>
      <c r="AB15" s="836">
        <v>225300</v>
      </c>
      <c r="AC15" s="836">
        <v>3246.53</v>
      </c>
      <c r="AD15" s="836">
        <v>228546.53</v>
      </c>
      <c r="AE15" s="836">
        <v>25300</v>
      </c>
      <c r="AF15" s="837">
        <v>113.15</v>
      </c>
      <c r="AG15" s="836">
        <v>226300</v>
      </c>
      <c r="AH15" s="836">
        <v>1473.9037800687365</v>
      </c>
      <c r="AI15" s="837">
        <v>115.73399999999999</v>
      </c>
      <c r="AJ15" s="836">
        <v>231468</v>
      </c>
      <c r="AK15" s="836">
        <v>7.9037800687285227</v>
      </c>
      <c r="AL15" s="836">
        <v>142.26804123711341</v>
      </c>
      <c r="AM15" s="836">
        <v>25157.731958762888</v>
      </c>
      <c r="AN15" s="836">
        <v>50.177777777777777</v>
      </c>
      <c r="AO15" s="836"/>
      <c r="AP15" s="836">
        <v>5118.1333333333332</v>
      </c>
      <c r="AQ15" s="876">
        <v>226187.58300000001</v>
      </c>
      <c r="AR15" s="836">
        <f t="shared" si="0"/>
        <v>1142.2680412371135</v>
      </c>
    </row>
    <row r="16" spans="1:44">
      <c r="A16" s="830">
        <v>14</v>
      </c>
      <c r="B16" s="831" t="s">
        <v>1148</v>
      </c>
      <c r="C16" s="832" t="s">
        <v>1149</v>
      </c>
      <c r="D16" s="833">
        <v>43098</v>
      </c>
      <c r="E16" s="833" t="s">
        <v>711</v>
      </c>
      <c r="F16" s="830" t="s">
        <v>717</v>
      </c>
      <c r="G16" s="830" t="s">
        <v>1150</v>
      </c>
      <c r="H16" s="830" t="s">
        <v>1151</v>
      </c>
      <c r="I16" s="830"/>
      <c r="J16" s="830" t="s">
        <v>1152</v>
      </c>
      <c r="K16" s="830"/>
      <c r="L16" s="830" t="s">
        <v>1153</v>
      </c>
      <c r="M16" s="834">
        <v>5.125</v>
      </c>
      <c r="N16" s="830" t="s">
        <v>1120</v>
      </c>
      <c r="O16" s="833">
        <v>41943</v>
      </c>
      <c r="P16" s="833">
        <v>43768</v>
      </c>
      <c r="Q16" s="833">
        <v>43055</v>
      </c>
      <c r="R16" s="833">
        <v>43041</v>
      </c>
      <c r="S16" s="833"/>
      <c r="T16" s="830">
        <v>43</v>
      </c>
      <c r="U16" s="830">
        <v>713</v>
      </c>
      <c r="V16" s="830">
        <v>31</v>
      </c>
      <c r="W16" s="830">
        <v>57</v>
      </c>
      <c r="X16" s="830"/>
      <c r="Y16" s="835">
        <v>1</v>
      </c>
      <c r="Z16" s="945">
        <v>500000</v>
      </c>
      <c r="AA16" s="837">
        <v>104.05</v>
      </c>
      <c r="AB16" s="836">
        <v>520250</v>
      </c>
      <c r="AC16" s="836">
        <v>1138.8900000000001</v>
      </c>
      <c r="AD16" s="836">
        <v>521388.89</v>
      </c>
      <c r="AE16" s="836">
        <v>20250</v>
      </c>
      <c r="AF16" s="837">
        <v>103.755</v>
      </c>
      <c r="AG16" s="836">
        <v>518775</v>
      </c>
      <c r="AH16" s="836">
        <v>-66.5988779803738</v>
      </c>
      <c r="AI16" s="837">
        <v>104.595</v>
      </c>
      <c r="AJ16" s="836">
        <v>522974.99999999994</v>
      </c>
      <c r="AK16" s="836">
        <v>28.401122019635345</v>
      </c>
      <c r="AL16" s="836">
        <v>1221.2482468443197</v>
      </c>
      <c r="AM16" s="836">
        <v>19028.75175315568</v>
      </c>
      <c r="AN16" s="836">
        <v>71.180555555555557</v>
      </c>
      <c r="AO16" s="836"/>
      <c r="AP16" s="836">
        <v>4057.291666666667</v>
      </c>
      <c r="AQ16" s="876">
        <v>518671.22600000002</v>
      </c>
      <c r="AR16" s="836">
        <f t="shared" si="0"/>
        <v>-253.75175315568026</v>
      </c>
    </row>
    <row r="17" spans="1:47">
      <c r="A17" s="830">
        <v>15</v>
      </c>
      <c r="B17" s="831" t="s">
        <v>1154</v>
      </c>
      <c r="C17" s="832" t="s">
        <v>1155</v>
      </c>
      <c r="D17" s="833">
        <v>43098</v>
      </c>
      <c r="E17" s="833" t="s">
        <v>711</v>
      </c>
      <c r="F17" s="830" t="s">
        <v>715</v>
      </c>
      <c r="G17" s="830" t="s">
        <v>1150</v>
      </c>
      <c r="H17" s="830" t="s">
        <v>1151</v>
      </c>
      <c r="I17" s="830"/>
      <c r="J17" s="830" t="s">
        <v>1152</v>
      </c>
      <c r="K17" s="830"/>
      <c r="L17" s="830" t="s">
        <v>1153</v>
      </c>
      <c r="M17" s="834">
        <v>4.5</v>
      </c>
      <c r="N17" s="830" t="s">
        <v>1120</v>
      </c>
      <c r="O17" s="833">
        <v>42663</v>
      </c>
      <c r="P17" s="833">
        <v>44489</v>
      </c>
      <c r="Q17" s="833">
        <v>42828</v>
      </c>
      <c r="R17" s="833">
        <v>43030</v>
      </c>
      <c r="S17" s="833"/>
      <c r="T17" s="830">
        <v>270</v>
      </c>
      <c r="U17" s="830">
        <v>1661</v>
      </c>
      <c r="V17" s="830">
        <v>31</v>
      </c>
      <c r="W17" s="830">
        <v>68</v>
      </c>
      <c r="X17" s="830"/>
      <c r="Y17" s="835">
        <v>1</v>
      </c>
      <c r="Z17" s="836">
        <v>500000</v>
      </c>
      <c r="AA17" s="837">
        <v>99.5</v>
      </c>
      <c r="AB17" s="836">
        <v>497500</v>
      </c>
      <c r="AC17" s="836">
        <v>10187.5</v>
      </c>
      <c r="AD17" s="836">
        <v>507687.5</v>
      </c>
      <c r="AE17" s="836">
        <v>-2500</v>
      </c>
      <c r="AF17" s="837">
        <v>102.078</v>
      </c>
      <c r="AG17" s="836">
        <v>510390</v>
      </c>
      <c r="AH17" s="836">
        <v>238.49488260084763</v>
      </c>
      <c r="AI17" s="837">
        <v>102.94</v>
      </c>
      <c r="AJ17" s="836">
        <v>514699.99999999994</v>
      </c>
      <c r="AK17" s="836">
        <v>-1.5051173991571343</v>
      </c>
      <c r="AL17" s="836">
        <v>-406.38169777242626</v>
      </c>
      <c r="AM17" s="836">
        <v>-2093.6183022275736</v>
      </c>
      <c r="AN17" s="836">
        <v>62.5</v>
      </c>
      <c r="AO17" s="836"/>
      <c r="AP17" s="836">
        <v>4250</v>
      </c>
      <c r="AQ17" s="876">
        <v>510287.97</v>
      </c>
      <c r="AR17" s="836">
        <f t="shared" si="0"/>
        <v>12483.618302227575</v>
      </c>
    </row>
    <row r="18" spans="1:47" ht="15.75" thickBot="1">
      <c r="A18" s="838">
        <v>16</v>
      </c>
      <c r="B18" s="839" t="s">
        <v>1154</v>
      </c>
      <c r="C18" s="840" t="s">
        <v>1156</v>
      </c>
      <c r="D18" s="841">
        <v>43098</v>
      </c>
      <c r="E18" s="841" t="s">
        <v>711</v>
      </c>
      <c r="F18" s="838" t="s">
        <v>715</v>
      </c>
      <c r="G18" s="838" t="s">
        <v>1150</v>
      </c>
      <c r="H18" s="838" t="s">
        <v>1151</v>
      </c>
      <c r="I18" s="838"/>
      <c r="J18" s="838" t="s">
        <v>1152</v>
      </c>
      <c r="K18" s="838"/>
      <c r="L18" s="838" t="s">
        <v>1153</v>
      </c>
      <c r="M18" s="842">
        <v>4.5</v>
      </c>
      <c r="N18" s="838" t="s">
        <v>1120</v>
      </c>
      <c r="O18" s="841">
        <v>42663</v>
      </c>
      <c r="P18" s="841">
        <v>44489</v>
      </c>
      <c r="Q18" s="841">
        <v>42871</v>
      </c>
      <c r="R18" s="841">
        <v>43030</v>
      </c>
      <c r="S18" s="841"/>
      <c r="T18" s="838">
        <v>227</v>
      </c>
      <c r="U18" s="838">
        <v>1618</v>
      </c>
      <c r="V18" s="838">
        <v>31</v>
      </c>
      <c r="W18" s="838">
        <v>68</v>
      </c>
      <c r="X18" s="838"/>
      <c r="Y18" s="843">
        <v>1</v>
      </c>
      <c r="Z18" s="946">
        <v>500000</v>
      </c>
      <c r="AA18" s="845">
        <v>100.85</v>
      </c>
      <c r="AB18" s="844">
        <v>504250</v>
      </c>
      <c r="AC18" s="844">
        <v>1625</v>
      </c>
      <c r="AD18" s="844">
        <v>505875</v>
      </c>
      <c r="AE18" s="844">
        <v>4250</v>
      </c>
      <c r="AF18" s="845">
        <v>102.078</v>
      </c>
      <c r="AG18" s="844">
        <v>510390</v>
      </c>
      <c r="AH18" s="844">
        <v>242.62669962918153</v>
      </c>
      <c r="AI18" s="845">
        <v>102.94</v>
      </c>
      <c r="AJ18" s="844">
        <v>514699.99999999994</v>
      </c>
      <c r="AK18" s="844">
        <v>2.6266996291718172</v>
      </c>
      <c r="AL18" s="844">
        <v>596.26081582200254</v>
      </c>
      <c r="AM18" s="844">
        <v>3653.7391841779972</v>
      </c>
      <c r="AN18" s="844">
        <v>62.5</v>
      </c>
      <c r="AO18" s="844"/>
      <c r="AP18" s="844">
        <v>4250</v>
      </c>
      <c r="AQ18" s="878">
        <v>510287.97</v>
      </c>
      <c r="AR18" s="836">
        <f t="shared" si="0"/>
        <v>6736.2608158220028</v>
      </c>
    </row>
    <row r="19" spans="1:47" ht="16.5" thickTop="1" thickBot="1">
      <c r="A19" s="846" t="s">
        <v>1157</v>
      </c>
      <c r="B19" s="846"/>
      <c r="C19" s="847"/>
      <c r="D19" s="848"/>
      <c r="E19" s="848"/>
      <c r="F19" s="846"/>
      <c r="G19" s="846"/>
      <c r="H19" s="846"/>
      <c r="I19" s="846"/>
      <c r="J19" s="846"/>
      <c r="K19" s="846"/>
      <c r="L19" s="846"/>
      <c r="M19" s="849"/>
      <c r="N19" s="846"/>
      <c r="O19" s="848"/>
      <c r="P19" s="848"/>
      <c r="Q19" s="848"/>
      <c r="R19" s="848"/>
      <c r="S19" s="848"/>
      <c r="T19" s="846"/>
      <c r="U19" s="846"/>
      <c r="V19" s="846"/>
      <c r="W19" s="846"/>
      <c r="X19" s="846"/>
      <c r="Y19" s="850"/>
      <c r="Z19" s="851">
        <v>9215000</v>
      </c>
      <c r="AA19" s="852"/>
      <c r="AB19" s="851">
        <v>9400760.2700000014</v>
      </c>
      <c r="AC19" s="851">
        <v>88708.481899999999</v>
      </c>
      <c r="AD19" s="851">
        <v>9489468.7519000005</v>
      </c>
      <c r="AE19" s="851">
        <v>185760.2700000006</v>
      </c>
      <c r="AF19" s="852"/>
      <c r="AG19" s="851">
        <v>9392297.1500000004</v>
      </c>
      <c r="AH19" s="851">
        <v>2757.3483096791024</v>
      </c>
      <c r="AI19" s="852"/>
      <c r="AJ19" s="851">
        <v>9453403.5500000007</v>
      </c>
      <c r="AK19" s="851">
        <v>204.89830967922387</v>
      </c>
      <c r="AL19" s="851">
        <v>9319.8050842221874</v>
      </c>
      <c r="AM19" s="851">
        <v>176440.46491577843</v>
      </c>
      <c r="AN19" s="851">
        <v>1016.3583333333333</v>
      </c>
      <c r="AO19" s="851">
        <v>0</v>
      </c>
      <c r="AP19" s="851">
        <v>59743.445833333331</v>
      </c>
      <c r="AQ19" s="846"/>
      <c r="AR19" s="851">
        <f>SUM(AR3:AR18)</f>
        <v>856.68508422167542</v>
      </c>
    </row>
    <row r="20" spans="1:47" ht="15.75" thickTop="1">
      <c r="A20" s="853"/>
      <c r="B20" s="854"/>
      <c r="C20" s="855"/>
      <c r="D20" s="856"/>
      <c r="E20" s="856"/>
      <c r="F20" s="853"/>
      <c r="G20" s="853"/>
      <c r="H20" s="853"/>
      <c r="I20" s="853"/>
      <c r="J20" s="853"/>
      <c r="K20" s="853"/>
      <c r="L20" s="853"/>
      <c r="M20" s="857"/>
      <c r="N20" s="853"/>
      <c r="O20" s="856"/>
      <c r="P20" s="856"/>
      <c r="Q20" s="856"/>
      <c r="R20" s="856"/>
      <c r="S20" s="856"/>
      <c r="T20" s="853"/>
      <c r="U20" s="853"/>
      <c r="V20" s="853"/>
      <c r="W20" s="853"/>
      <c r="X20" s="853"/>
      <c r="Y20" s="858"/>
      <c r="Z20" s="859"/>
      <c r="AA20" s="860"/>
      <c r="AB20" s="859">
        <f>AB19-AG19</f>
        <v>8463.1200000010431</v>
      </c>
      <c r="AC20" s="859"/>
      <c r="AD20" s="859"/>
      <c r="AE20" s="859"/>
      <c r="AF20" s="860"/>
      <c r="AG20" s="859">
        <f>AG19+AP19</f>
        <v>9452040.5958333332</v>
      </c>
      <c r="AH20" s="859"/>
      <c r="AI20" s="860"/>
      <c r="AJ20" s="859"/>
      <c r="AK20" s="859"/>
      <c r="AL20" s="859"/>
      <c r="AM20" s="859"/>
      <c r="AN20" s="859"/>
      <c r="AO20" s="859"/>
      <c r="AP20" s="859"/>
      <c r="AQ20" s="853"/>
      <c r="AR20" s="853"/>
    </row>
    <row r="21" spans="1:47" ht="15.75" thickBot="1">
      <c r="AL21" s="879"/>
    </row>
    <row r="22" spans="1:47" ht="78" thickTop="1" thickBot="1">
      <c r="A22" s="861" t="s">
        <v>1158</v>
      </c>
      <c r="B22" s="862" t="s">
        <v>1159</v>
      </c>
      <c r="C22" s="862" t="s">
        <v>1160</v>
      </c>
      <c r="D22" s="863" t="s">
        <v>1161</v>
      </c>
      <c r="E22" s="863" t="s">
        <v>1162</v>
      </c>
      <c r="F22" s="864" t="s">
        <v>1163</v>
      </c>
      <c r="G22" s="865" t="s">
        <v>1164</v>
      </c>
      <c r="H22" s="865" t="s">
        <v>1165</v>
      </c>
      <c r="I22" s="865" t="s">
        <v>1166</v>
      </c>
      <c r="J22" s="865" t="s">
        <v>860</v>
      </c>
      <c r="K22" s="865" t="s">
        <v>1167</v>
      </c>
      <c r="L22" s="865" t="s">
        <v>1168</v>
      </c>
      <c r="M22" s="866" t="s">
        <v>1169</v>
      </c>
      <c r="N22" s="865" t="s">
        <v>1170</v>
      </c>
      <c r="O22" s="861" t="s">
        <v>1171</v>
      </c>
      <c r="P22" s="861" t="s">
        <v>1172</v>
      </c>
      <c r="Q22" s="863" t="s">
        <v>1173</v>
      </c>
      <c r="R22" s="861" t="s">
        <v>1174</v>
      </c>
      <c r="S22" s="861" t="s">
        <v>1175</v>
      </c>
      <c r="T22" s="867" t="s">
        <v>1176</v>
      </c>
      <c r="U22" s="867" t="s">
        <v>1177</v>
      </c>
      <c r="V22" s="867" t="s">
        <v>1178</v>
      </c>
      <c r="W22" s="867" t="s">
        <v>1179</v>
      </c>
      <c r="X22" s="867" t="s">
        <v>1175</v>
      </c>
      <c r="Y22" s="868" t="s">
        <v>1180</v>
      </c>
      <c r="Z22" s="869" t="s">
        <v>1181</v>
      </c>
      <c r="AA22" s="870" t="s">
        <v>1182</v>
      </c>
      <c r="AB22" s="871" t="s">
        <v>1183</v>
      </c>
      <c r="AC22" s="869" t="s">
        <v>1184</v>
      </c>
      <c r="AD22" s="871" t="s">
        <v>1185</v>
      </c>
      <c r="AE22" s="871" t="s">
        <v>1186</v>
      </c>
      <c r="AF22" s="871" t="s">
        <v>1187</v>
      </c>
      <c r="AG22" s="872" t="s">
        <v>1188</v>
      </c>
      <c r="AH22" s="873" t="s">
        <v>1189</v>
      </c>
      <c r="AI22" s="871" t="s">
        <v>1190</v>
      </c>
      <c r="AJ22" s="871" t="s">
        <v>1191</v>
      </c>
      <c r="AK22" s="871" t="s">
        <v>1192</v>
      </c>
      <c r="AL22" s="871" t="s">
        <v>1193</v>
      </c>
      <c r="AM22" s="872" t="s">
        <v>1194</v>
      </c>
      <c r="AN22" s="871" t="s">
        <v>1195</v>
      </c>
      <c r="AO22" s="871" t="s">
        <v>1196</v>
      </c>
      <c r="AP22" s="872" t="s">
        <v>1197</v>
      </c>
      <c r="AQ22" s="874" t="s">
        <v>1198</v>
      </c>
      <c r="AR22" s="874" t="s">
        <v>1199</v>
      </c>
      <c r="AT22" s="874" t="s">
        <v>1199</v>
      </c>
    </row>
    <row r="23" spans="1:47" ht="15.75" thickTop="1">
      <c r="A23" s="830">
        <v>1</v>
      </c>
      <c r="B23" s="831" t="s">
        <v>1380</v>
      </c>
      <c r="C23" s="832" t="s">
        <v>1381</v>
      </c>
      <c r="D23" s="833">
        <v>43188</v>
      </c>
      <c r="E23" s="833" t="s">
        <v>711</v>
      </c>
      <c r="F23" s="830" t="s">
        <v>1382</v>
      </c>
      <c r="G23" s="830" t="s">
        <v>1150</v>
      </c>
      <c r="H23" s="830" t="s">
        <v>1378</v>
      </c>
      <c r="I23" s="830"/>
      <c r="J23" s="830" t="s">
        <v>1152</v>
      </c>
      <c r="K23" s="830"/>
      <c r="L23" s="830" t="s">
        <v>1383</v>
      </c>
      <c r="M23" s="834">
        <v>3</v>
      </c>
      <c r="N23" s="830" t="s">
        <v>1120</v>
      </c>
      <c r="O23" s="833">
        <v>43007</v>
      </c>
      <c r="P23" s="833">
        <v>45198</v>
      </c>
      <c r="Q23" s="833">
        <v>43124</v>
      </c>
      <c r="R23" s="833">
        <v>43188</v>
      </c>
      <c r="S23" s="833"/>
      <c r="T23" s="830">
        <v>64</v>
      </c>
      <c r="U23" s="830">
        <v>2074</v>
      </c>
      <c r="V23" s="830">
        <v>31</v>
      </c>
      <c r="W23" s="830">
        <v>0</v>
      </c>
      <c r="X23" s="830">
        <v>-2</v>
      </c>
      <c r="Y23" s="835">
        <v>1</v>
      </c>
      <c r="Z23" s="836">
        <v>150000</v>
      </c>
      <c r="AA23" s="837">
        <v>99.75</v>
      </c>
      <c r="AB23" s="836">
        <v>149625</v>
      </c>
      <c r="AC23" s="836">
        <v>1437.5</v>
      </c>
      <c r="AD23" s="836">
        <v>151062.5</v>
      </c>
      <c r="AE23" s="836">
        <v>-375</v>
      </c>
      <c r="AF23" s="837">
        <v>98.875</v>
      </c>
      <c r="AG23" s="836">
        <v>148312.5</v>
      </c>
      <c r="AH23" s="836">
        <v>-0.18081002891995013</v>
      </c>
      <c r="AI23" s="837">
        <v>98.875</v>
      </c>
      <c r="AJ23" s="836">
        <v>148287.5</v>
      </c>
      <c r="AK23" s="836">
        <v>-0.18081002892960463</v>
      </c>
      <c r="AL23" s="836">
        <v>-11.571841851494696</v>
      </c>
      <c r="AM23" s="836">
        <v>-363.4281581485053</v>
      </c>
      <c r="AN23" s="836">
        <v>12.5</v>
      </c>
      <c r="AO23" s="836"/>
      <c r="AP23" s="836">
        <v>-25</v>
      </c>
      <c r="AQ23" s="836">
        <v>0</v>
      </c>
      <c r="AR23" s="836">
        <f>AG23-AB23+AL23</f>
        <v>-1324.0718418514948</v>
      </c>
      <c r="AS23" s="879">
        <f>AM23-AL23</f>
        <v>-351.85631629701061</v>
      </c>
      <c r="AT23" s="877">
        <v>-1324.0718418514948</v>
      </c>
      <c r="AU23" s="879">
        <f>AR23-AT23</f>
        <v>0</v>
      </c>
    </row>
    <row r="24" spans="1:47">
      <c r="A24" s="830">
        <v>2</v>
      </c>
      <c r="B24" s="831" t="s">
        <v>1384</v>
      </c>
      <c r="C24" s="832" t="s">
        <v>1115</v>
      </c>
      <c r="D24" s="833">
        <v>43188</v>
      </c>
      <c r="E24" s="833" t="s">
        <v>711</v>
      </c>
      <c r="F24" s="830" t="s">
        <v>841</v>
      </c>
      <c r="G24" s="830" t="s">
        <v>1116</v>
      </c>
      <c r="H24" s="830" t="s">
        <v>1117</v>
      </c>
      <c r="I24" s="830"/>
      <c r="J24" s="830" t="s">
        <v>1118</v>
      </c>
      <c r="K24" s="830"/>
      <c r="L24" s="830" t="s">
        <v>1119</v>
      </c>
      <c r="M24" s="834">
        <v>4.375</v>
      </c>
      <c r="N24" s="830" t="s">
        <v>1120</v>
      </c>
      <c r="O24" s="833">
        <v>41075</v>
      </c>
      <c r="P24" s="833">
        <v>44727</v>
      </c>
      <c r="Q24" s="833">
        <v>43024</v>
      </c>
      <c r="R24" s="833">
        <v>43084</v>
      </c>
      <c r="S24" s="833"/>
      <c r="T24" s="830">
        <v>164</v>
      </c>
      <c r="U24" s="830">
        <v>1703</v>
      </c>
      <c r="V24" s="830">
        <v>31</v>
      </c>
      <c r="W24" s="830">
        <v>104</v>
      </c>
      <c r="X24" s="830">
        <v>102</v>
      </c>
      <c r="Y24" s="835">
        <v>1</v>
      </c>
      <c r="Z24" s="945">
        <v>550000</v>
      </c>
      <c r="AA24" s="837">
        <v>108.1</v>
      </c>
      <c r="AB24" s="947">
        <v>585920.5</v>
      </c>
      <c r="AC24" s="836">
        <v>8087.67</v>
      </c>
      <c r="AD24" s="836">
        <v>602637.67000000004</v>
      </c>
      <c r="AE24" s="836">
        <v>44550</v>
      </c>
      <c r="AF24" s="837">
        <v>104.77</v>
      </c>
      <c r="AG24" s="836">
        <v>576234.99999999988</v>
      </c>
      <c r="AH24" s="836">
        <v>26.159718144452199</v>
      </c>
      <c r="AI24" s="837">
        <v>106.03400000000001</v>
      </c>
      <c r="AJ24" s="836">
        <v>583052.70833333326</v>
      </c>
      <c r="AK24" s="836">
        <v>26.15971814445097</v>
      </c>
      <c r="AL24" s="836">
        <v>4290.1937756899588</v>
      </c>
      <c r="AM24" s="836">
        <v>40259.806224310043</v>
      </c>
      <c r="AN24" s="836">
        <v>66.840277777777771</v>
      </c>
      <c r="AO24" s="836"/>
      <c r="AP24" s="836">
        <v>6817.708333333333</v>
      </c>
      <c r="AQ24" s="836">
        <v>0</v>
      </c>
      <c r="AR24" s="836">
        <f>AG24-AB24+AL24</f>
        <v>-5395.3062243101576</v>
      </c>
      <c r="AS24" s="879">
        <f t="shared" ref="AS24:AS48" si="1">AM24-AL24</f>
        <v>35969.612448620086</v>
      </c>
      <c r="AT24" s="877">
        <v>-14024.806224310158</v>
      </c>
      <c r="AU24" s="879">
        <f t="shared" ref="AU24:AU48" si="2">AR24-AT24</f>
        <v>8629.5</v>
      </c>
    </row>
    <row r="25" spans="1:47">
      <c r="A25" s="830">
        <v>3</v>
      </c>
      <c r="B25" s="831" t="s">
        <v>1385</v>
      </c>
      <c r="C25" s="832" t="s">
        <v>1386</v>
      </c>
      <c r="D25" s="833">
        <v>43188</v>
      </c>
      <c r="E25" s="833" t="s">
        <v>711</v>
      </c>
      <c r="F25" s="830" t="s">
        <v>1245</v>
      </c>
      <c r="G25" s="830" t="s">
        <v>1116</v>
      </c>
      <c r="H25" s="830" t="s">
        <v>1387</v>
      </c>
      <c r="I25" s="830"/>
      <c r="J25" s="830" t="s">
        <v>1388</v>
      </c>
      <c r="K25" s="830"/>
      <c r="L25" s="830" t="s">
        <v>1389</v>
      </c>
      <c r="M25" s="834">
        <v>7.625</v>
      </c>
      <c r="N25" s="830" t="s">
        <v>1120</v>
      </c>
      <c r="O25" s="833">
        <v>40017</v>
      </c>
      <c r="P25" s="833">
        <v>43669</v>
      </c>
      <c r="Q25" s="833">
        <v>43186</v>
      </c>
      <c r="R25" s="833">
        <v>43123</v>
      </c>
      <c r="S25" s="833"/>
      <c r="T25" s="830">
        <v>2</v>
      </c>
      <c r="U25" s="830">
        <v>483</v>
      </c>
      <c r="V25" s="830">
        <v>31</v>
      </c>
      <c r="W25" s="830">
        <v>65</v>
      </c>
      <c r="X25" s="830">
        <v>63</v>
      </c>
      <c r="Y25" s="835">
        <v>1</v>
      </c>
      <c r="Z25" s="836">
        <v>500000</v>
      </c>
      <c r="AA25" s="837">
        <v>105.8</v>
      </c>
      <c r="AB25" s="836">
        <v>529000</v>
      </c>
      <c r="AC25" s="836">
        <v>6777.78</v>
      </c>
      <c r="AD25" s="836">
        <v>535777.78</v>
      </c>
      <c r="AE25" s="836">
        <v>29000</v>
      </c>
      <c r="AF25" s="837">
        <v>105.932</v>
      </c>
      <c r="AG25" s="836">
        <v>529660</v>
      </c>
      <c r="AH25" s="836">
        <v>60.041407867451198</v>
      </c>
      <c r="AI25" s="837">
        <v>107.33</v>
      </c>
      <c r="AJ25" s="836">
        <v>536331.875</v>
      </c>
      <c r="AK25" s="836">
        <v>60.041407867494826</v>
      </c>
      <c r="AL25" s="836">
        <v>120.08281573498965</v>
      </c>
      <c r="AM25" s="836">
        <v>28879.91718426501</v>
      </c>
      <c r="AN25" s="836">
        <v>105.90277777777777</v>
      </c>
      <c r="AO25" s="836"/>
      <c r="AP25" s="836">
        <v>6671.875</v>
      </c>
      <c r="AQ25" s="836">
        <v>0</v>
      </c>
      <c r="AR25" s="836">
        <f t="shared" ref="AR25:AR48" si="3">AG25-AB25+AL25</f>
        <v>780.08281573498971</v>
      </c>
      <c r="AS25" s="879">
        <f t="shared" si="1"/>
        <v>28759.834368530021</v>
      </c>
      <c r="AT25" s="877">
        <v>780.08281573498971</v>
      </c>
      <c r="AU25" s="879">
        <f t="shared" si="2"/>
        <v>0</v>
      </c>
    </row>
    <row r="26" spans="1:47">
      <c r="A26" s="830">
        <v>4</v>
      </c>
      <c r="B26" s="831" t="s">
        <v>1390</v>
      </c>
      <c r="C26" s="832" t="s">
        <v>1122</v>
      </c>
      <c r="D26" s="833">
        <v>43188</v>
      </c>
      <c r="E26" s="833" t="s">
        <v>711</v>
      </c>
      <c r="F26" s="830" t="s">
        <v>846</v>
      </c>
      <c r="G26" s="830" t="s">
        <v>1116</v>
      </c>
      <c r="H26" s="830" t="s">
        <v>1123</v>
      </c>
      <c r="I26" s="830"/>
      <c r="J26" s="830" t="s">
        <v>1124</v>
      </c>
      <c r="K26" s="830"/>
      <c r="L26" s="830" t="s">
        <v>1125</v>
      </c>
      <c r="M26" s="834">
        <v>1.5</v>
      </c>
      <c r="N26" s="830" t="s">
        <v>1120</v>
      </c>
      <c r="O26" s="833">
        <v>40786</v>
      </c>
      <c r="P26" s="833">
        <v>43343</v>
      </c>
      <c r="Q26" s="833">
        <v>43073</v>
      </c>
      <c r="R26" s="833">
        <v>43159</v>
      </c>
      <c r="S26" s="833"/>
      <c r="T26" s="830">
        <v>115</v>
      </c>
      <c r="U26" s="830">
        <v>270</v>
      </c>
      <c r="V26" s="830">
        <v>31</v>
      </c>
      <c r="W26" s="830">
        <v>29</v>
      </c>
      <c r="X26" s="830">
        <v>27</v>
      </c>
      <c r="Y26" s="835">
        <v>1</v>
      </c>
      <c r="Z26" s="945">
        <v>1200000</v>
      </c>
      <c r="AA26" s="837">
        <v>99.955078000000015</v>
      </c>
      <c r="AB26" s="947">
        <v>1198608</v>
      </c>
      <c r="AC26" s="836">
        <v>4723.7520000000004</v>
      </c>
      <c r="AD26" s="836">
        <v>1204184.6880000003</v>
      </c>
      <c r="AE26" s="836">
        <v>-539.06399999978021</v>
      </c>
      <c r="AF26" s="837">
        <v>99.831999999999994</v>
      </c>
      <c r="AG26" s="836">
        <v>1197984</v>
      </c>
      <c r="AH26" s="836">
        <v>-1.9965333330910653</v>
      </c>
      <c r="AI26" s="837">
        <v>99.938999999999993</v>
      </c>
      <c r="AJ26" s="836">
        <v>1199334</v>
      </c>
      <c r="AK26" s="836">
        <v>-1.9965333333325193</v>
      </c>
      <c r="AL26" s="836">
        <v>-229.60133333323972</v>
      </c>
      <c r="AM26" s="836">
        <v>-309.46266666654049</v>
      </c>
      <c r="AN26" s="836">
        <v>50</v>
      </c>
      <c r="AO26" s="836"/>
      <c r="AP26" s="836">
        <v>1350</v>
      </c>
      <c r="AQ26" s="836">
        <v>0</v>
      </c>
      <c r="AR26" s="836">
        <f>AG26-AB26+AL26</f>
        <v>-853.60133333323972</v>
      </c>
      <c r="AS26" s="879">
        <f t="shared" si="1"/>
        <v>-79.861333333300763</v>
      </c>
      <c r="AT26" s="877">
        <v>-1706.5373333334596</v>
      </c>
      <c r="AU26" s="879">
        <f t="shared" si="2"/>
        <v>852.93600000021991</v>
      </c>
    </row>
    <row r="27" spans="1:47">
      <c r="A27" s="830">
        <v>5</v>
      </c>
      <c r="B27" s="831" t="s">
        <v>1390</v>
      </c>
      <c r="C27" s="832" t="s">
        <v>1391</v>
      </c>
      <c r="D27" s="833">
        <v>43188</v>
      </c>
      <c r="E27" s="833" t="s">
        <v>711</v>
      </c>
      <c r="F27" s="830" t="s">
        <v>846</v>
      </c>
      <c r="G27" s="830" t="s">
        <v>1116</v>
      </c>
      <c r="H27" s="830" t="s">
        <v>1123</v>
      </c>
      <c r="I27" s="830"/>
      <c r="J27" s="830" t="s">
        <v>1124</v>
      </c>
      <c r="K27" s="830"/>
      <c r="L27" s="830" t="s">
        <v>1125</v>
      </c>
      <c r="M27" s="834">
        <v>1.5</v>
      </c>
      <c r="N27" s="830" t="s">
        <v>1120</v>
      </c>
      <c r="O27" s="833">
        <v>40786</v>
      </c>
      <c r="P27" s="833">
        <v>43343</v>
      </c>
      <c r="Q27" s="833">
        <v>43117</v>
      </c>
      <c r="R27" s="833">
        <v>43159</v>
      </c>
      <c r="S27" s="833"/>
      <c r="T27" s="830">
        <v>71</v>
      </c>
      <c r="U27" s="830">
        <v>226</v>
      </c>
      <c r="V27" s="830">
        <v>31</v>
      </c>
      <c r="W27" s="830">
        <v>29</v>
      </c>
      <c r="X27" s="830">
        <v>27</v>
      </c>
      <c r="Y27" s="835">
        <v>1</v>
      </c>
      <c r="Z27" s="836">
        <v>4700000</v>
      </c>
      <c r="AA27" s="837">
        <v>99.897000000000006</v>
      </c>
      <c r="AB27" s="836">
        <v>4695159</v>
      </c>
      <c r="AC27" s="836">
        <v>27070.449999999997</v>
      </c>
      <c r="AD27" s="836">
        <v>4722229.45</v>
      </c>
      <c r="AE27" s="836">
        <v>-4841</v>
      </c>
      <c r="AF27" s="837">
        <v>99.831999999999994</v>
      </c>
      <c r="AG27" s="836">
        <v>4692104</v>
      </c>
      <c r="AH27" s="836">
        <v>-21.420353981666267</v>
      </c>
      <c r="AI27" s="837">
        <v>99.938999999999993</v>
      </c>
      <c r="AJ27" s="836">
        <v>4697391.5</v>
      </c>
      <c r="AK27" s="836">
        <v>-21.420353982300885</v>
      </c>
      <c r="AL27" s="836">
        <v>-1520.8451327433629</v>
      </c>
      <c r="AM27" s="836">
        <v>-3320.1548672566369</v>
      </c>
      <c r="AN27" s="836">
        <v>195.83333333333334</v>
      </c>
      <c r="AO27" s="836"/>
      <c r="AP27" s="836">
        <v>5287.5</v>
      </c>
      <c r="AQ27" s="836">
        <v>0</v>
      </c>
      <c r="AR27" s="836">
        <f t="shared" si="3"/>
        <v>-4575.8451327433631</v>
      </c>
      <c r="AS27" s="879">
        <f t="shared" si="1"/>
        <v>-1799.309734513274</v>
      </c>
      <c r="AT27" s="877">
        <v>-4575.8451327433631</v>
      </c>
      <c r="AU27" s="879">
        <f t="shared" si="2"/>
        <v>0</v>
      </c>
    </row>
    <row r="28" spans="1:47">
      <c r="A28" s="830">
        <v>6</v>
      </c>
      <c r="B28" s="831" t="s">
        <v>1390</v>
      </c>
      <c r="C28" s="832" t="s">
        <v>1392</v>
      </c>
      <c r="D28" s="833">
        <v>43188</v>
      </c>
      <c r="E28" s="833" t="s">
        <v>711</v>
      </c>
      <c r="F28" s="830" t="s">
        <v>846</v>
      </c>
      <c r="G28" s="830" t="s">
        <v>1116</v>
      </c>
      <c r="H28" s="830" t="s">
        <v>1123</v>
      </c>
      <c r="I28" s="830"/>
      <c r="J28" s="830" t="s">
        <v>1124</v>
      </c>
      <c r="K28" s="830"/>
      <c r="L28" s="830" t="s">
        <v>1125</v>
      </c>
      <c r="M28" s="834">
        <v>1.5</v>
      </c>
      <c r="N28" s="830" t="s">
        <v>1120</v>
      </c>
      <c r="O28" s="833">
        <v>40786</v>
      </c>
      <c r="P28" s="833">
        <v>43343</v>
      </c>
      <c r="Q28" s="833">
        <v>43157</v>
      </c>
      <c r="R28" s="833">
        <v>43159</v>
      </c>
      <c r="S28" s="833"/>
      <c r="T28" s="830">
        <v>31</v>
      </c>
      <c r="U28" s="830">
        <v>186</v>
      </c>
      <c r="V28" s="830">
        <v>31</v>
      </c>
      <c r="W28" s="830">
        <v>29</v>
      </c>
      <c r="X28" s="830">
        <v>27</v>
      </c>
      <c r="Y28" s="835">
        <v>1</v>
      </c>
      <c r="Z28" s="836">
        <v>1100000</v>
      </c>
      <c r="AA28" s="837">
        <v>99.831000000000003</v>
      </c>
      <c r="AB28" s="836">
        <v>1098141</v>
      </c>
      <c r="AC28" s="836">
        <v>8158.84</v>
      </c>
      <c r="AD28" s="836">
        <v>1106299.8400000001</v>
      </c>
      <c r="AE28" s="836">
        <v>-1859</v>
      </c>
      <c r="AF28" s="837">
        <v>99.831999999999994</v>
      </c>
      <c r="AG28" s="836">
        <v>1098152</v>
      </c>
      <c r="AH28" s="836">
        <v>-9.9946236559189856</v>
      </c>
      <c r="AI28" s="837">
        <v>99.938999999999993</v>
      </c>
      <c r="AJ28" s="836">
        <v>1099389.5</v>
      </c>
      <c r="AK28" s="836">
        <v>-9.9946236559139781</v>
      </c>
      <c r="AL28" s="836">
        <v>-309.83333333333331</v>
      </c>
      <c r="AM28" s="836">
        <v>-1549.1666666666667</v>
      </c>
      <c r="AN28" s="836">
        <v>45.833333333333336</v>
      </c>
      <c r="AO28" s="836"/>
      <c r="AP28" s="836">
        <v>1237.5</v>
      </c>
      <c r="AQ28" s="836">
        <v>0</v>
      </c>
      <c r="AR28" s="836">
        <f t="shared" si="3"/>
        <v>-298.83333333333331</v>
      </c>
      <c r="AS28" s="879">
        <f t="shared" si="1"/>
        <v>-1239.3333333333335</v>
      </c>
      <c r="AT28" s="877">
        <v>-298.83333333333331</v>
      </c>
      <c r="AU28" s="879">
        <f t="shared" si="2"/>
        <v>0</v>
      </c>
    </row>
    <row r="29" spans="1:47">
      <c r="A29" s="830">
        <v>7</v>
      </c>
      <c r="B29" s="831" t="s">
        <v>1393</v>
      </c>
      <c r="C29" s="832" t="s">
        <v>1132</v>
      </c>
      <c r="D29" s="833">
        <v>43188</v>
      </c>
      <c r="E29" s="833" t="s">
        <v>711</v>
      </c>
      <c r="F29" s="830" t="s">
        <v>713</v>
      </c>
      <c r="G29" s="830" t="s">
        <v>1116</v>
      </c>
      <c r="H29" s="830" t="s">
        <v>1128</v>
      </c>
      <c r="I29" s="830"/>
      <c r="J29" s="830" t="s">
        <v>1129</v>
      </c>
      <c r="K29" s="830"/>
      <c r="L29" s="830" t="s">
        <v>1130</v>
      </c>
      <c r="M29" s="834">
        <v>6.25</v>
      </c>
      <c r="N29" s="830" t="s">
        <v>1120</v>
      </c>
      <c r="O29" s="833">
        <v>41739</v>
      </c>
      <c r="P29" s="833">
        <v>43565</v>
      </c>
      <c r="Q29" s="833">
        <v>43052</v>
      </c>
      <c r="R29" s="833">
        <v>43018</v>
      </c>
      <c r="S29" s="833"/>
      <c r="T29" s="830">
        <v>136</v>
      </c>
      <c r="U29" s="830">
        <v>513</v>
      </c>
      <c r="V29" s="830">
        <v>31</v>
      </c>
      <c r="W29" s="830">
        <v>170</v>
      </c>
      <c r="X29" s="830">
        <v>168</v>
      </c>
      <c r="Y29" s="835">
        <v>1</v>
      </c>
      <c r="Z29" s="945">
        <v>1000000</v>
      </c>
      <c r="AA29" s="837">
        <v>103.8</v>
      </c>
      <c r="AB29" s="947">
        <v>1031760</v>
      </c>
      <c r="AC29" s="836">
        <v>5729.1682070240295</v>
      </c>
      <c r="AD29" s="836">
        <v>1043729.168207024</v>
      </c>
      <c r="AE29" s="836">
        <v>38000</v>
      </c>
      <c r="AF29" s="837">
        <v>101.952</v>
      </c>
      <c r="AG29" s="836">
        <v>1019520</v>
      </c>
      <c r="AH29" s="836">
        <v>74.074074074043892</v>
      </c>
      <c r="AI29" s="837">
        <v>104.886</v>
      </c>
      <c r="AJ29" s="836">
        <v>1048686.6666666667</v>
      </c>
      <c r="AK29" s="836">
        <v>74.074074074074076</v>
      </c>
      <c r="AL29" s="836">
        <v>10074.074074074075</v>
      </c>
      <c r="AM29" s="836">
        <v>27925.925925925927</v>
      </c>
      <c r="AN29" s="836">
        <v>173.61111111111111</v>
      </c>
      <c r="AO29" s="836"/>
      <c r="AP29" s="836">
        <v>29166.666666666668</v>
      </c>
      <c r="AQ29" s="836">
        <v>0</v>
      </c>
      <c r="AR29" s="836">
        <f t="shared" si="3"/>
        <v>-2165.9259259259252</v>
      </c>
      <c r="AS29" s="879">
        <f t="shared" si="1"/>
        <v>17851.851851851854</v>
      </c>
      <c r="AT29" s="877">
        <v>-8405.9259259259252</v>
      </c>
      <c r="AU29" s="879">
        <f t="shared" si="2"/>
        <v>6240</v>
      </c>
    </row>
    <row r="30" spans="1:47">
      <c r="A30" s="830">
        <v>8</v>
      </c>
      <c r="B30" s="831" t="s">
        <v>1393</v>
      </c>
      <c r="C30" s="832" t="s">
        <v>1133</v>
      </c>
      <c r="D30" s="833">
        <v>43188</v>
      </c>
      <c r="E30" s="833" t="s">
        <v>711</v>
      </c>
      <c r="F30" s="830" t="s">
        <v>713</v>
      </c>
      <c r="G30" s="830" t="s">
        <v>1116</v>
      </c>
      <c r="H30" s="830" t="s">
        <v>1128</v>
      </c>
      <c r="I30" s="830"/>
      <c r="J30" s="830" t="s">
        <v>1129</v>
      </c>
      <c r="K30" s="830"/>
      <c r="L30" s="830" t="s">
        <v>1130</v>
      </c>
      <c r="M30" s="834">
        <v>6.25</v>
      </c>
      <c r="N30" s="830" t="s">
        <v>1120</v>
      </c>
      <c r="O30" s="833">
        <v>41739</v>
      </c>
      <c r="P30" s="833">
        <v>43565</v>
      </c>
      <c r="Q30" s="833">
        <v>43074</v>
      </c>
      <c r="R30" s="833">
        <v>43018</v>
      </c>
      <c r="S30" s="833"/>
      <c r="T30" s="830">
        <v>114</v>
      </c>
      <c r="U30" s="830">
        <v>491</v>
      </c>
      <c r="V30" s="830">
        <v>31</v>
      </c>
      <c r="W30" s="830">
        <v>170</v>
      </c>
      <c r="X30" s="830">
        <v>168</v>
      </c>
      <c r="Y30" s="835">
        <v>1</v>
      </c>
      <c r="Z30" s="945">
        <v>200000</v>
      </c>
      <c r="AA30" s="837">
        <v>103</v>
      </c>
      <c r="AB30" s="947">
        <v>206352</v>
      </c>
      <c r="AC30" s="836">
        <v>1909.72</v>
      </c>
      <c r="AD30" s="836">
        <v>207909.72</v>
      </c>
      <c r="AE30" s="836">
        <v>6000</v>
      </c>
      <c r="AF30" s="837">
        <v>101.952</v>
      </c>
      <c r="AG30" s="836">
        <v>203904</v>
      </c>
      <c r="AH30" s="836">
        <v>12.219959266803926</v>
      </c>
      <c r="AI30" s="837">
        <v>104.886</v>
      </c>
      <c r="AJ30" s="836">
        <v>209737.33333333334</v>
      </c>
      <c r="AK30" s="836">
        <v>12.219959266802444</v>
      </c>
      <c r="AL30" s="836">
        <v>1393.0753564154786</v>
      </c>
      <c r="AM30" s="836">
        <v>4606.9246435845216</v>
      </c>
      <c r="AN30" s="836">
        <v>34.722222222222221</v>
      </c>
      <c r="AO30" s="836"/>
      <c r="AP30" s="836">
        <v>5833.333333333333</v>
      </c>
      <c r="AQ30" s="836">
        <v>0</v>
      </c>
      <c r="AR30" s="836">
        <f t="shared" si="3"/>
        <v>-1054.9246435845214</v>
      </c>
      <c r="AS30" s="879">
        <f t="shared" si="1"/>
        <v>3213.8492871690432</v>
      </c>
      <c r="AT30" s="877">
        <v>-702.92464358452139</v>
      </c>
      <c r="AU30" s="879">
        <f t="shared" si="2"/>
        <v>-352</v>
      </c>
    </row>
    <row r="31" spans="1:47">
      <c r="A31" s="830">
        <v>9</v>
      </c>
      <c r="B31" s="831" t="s">
        <v>1393</v>
      </c>
      <c r="C31" s="832" t="s">
        <v>1394</v>
      </c>
      <c r="D31" s="833">
        <v>43188</v>
      </c>
      <c r="E31" s="833" t="s">
        <v>711</v>
      </c>
      <c r="F31" s="830" t="s">
        <v>713</v>
      </c>
      <c r="G31" s="830" t="s">
        <v>1116</v>
      </c>
      <c r="H31" s="830" t="s">
        <v>1128</v>
      </c>
      <c r="I31" s="830"/>
      <c r="J31" s="830" t="s">
        <v>1129</v>
      </c>
      <c r="K31" s="830"/>
      <c r="L31" s="830" t="s">
        <v>1130</v>
      </c>
      <c r="M31" s="834">
        <v>6.25</v>
      </c>
      <c r="N31" s="830" t="s">
        <v>1120</v>
      </c>
      <c r="O31" s="833">
        <v>41739</v>
      </c>
      <c r="P31" s="833">
        <v>43565</v>
      </c>
      <c r="Q31" s="833">
        <v>43122</v>
      </c>
      <c r="R31" s="833">
        <v>43018</v>
      </c>
      <c r="S31" s="833"/>
      <c r="T31" s="830">
        <v>66</v>
      </c>
      <c r="U31" s="830">
        <v>443</v>
      </c>
      <c r="V31" s="830">
        <v>31</v>
      </c>
      <c r="W31" s="830">
        <v>170</v>
      </c>
      <c r="X31" s="830">
        <v>168</v>
      </c>
      <c r="Y31" s="835">
        <v>1</v>
      </c>
      <c r="Z31" s="836">
        <v>100000</v>
      </c>
      <c r="AA31" s="837">
        <v>103.05</v>
      </c>
      <c r="AB31" s="836">
        <v>103050</v>
      </c>
      <c r="AC31" s="836">
        <v>1770.83</v>
      </c>
      <c r="AD31" s="836">
        <v>104820.83</v>
      </c>
      <c r="AE31" s="836">
        <v>3050</v>
      </c>
      <c r="AF31" s="837">
        <v>101.952</v>
      </c>
      <c r="AG31" s="836">
        <v>101952</v>
      </c>
      <c r="AH31" s="836">
        <v>6.8848758465028368</v>
      </c>
      <c r="AI31" s="837">
        <v>104.886</v>
      </c>
      <c r="AJ31" s="836">
        <v>104868.66666666667</v>
      </c>
      <c r="AK31" s="836">
        <v>6.8848758465011288</v>
      </c>
      <c r="AL31" s="836">
        <v>454.40180586907451</v>
      </c>
      <c r="AM31" s="836">
        <v>2595.5981941309255</v>
      </c>
      <c r="AN31" s="836">
        <v>17.361111111111111</v>
      </c>
      <c r="AO31" s="836"/>
      <c r="AP31" s="836">
        <v>2916.6666666666665</v>
      </c>
      <c r="AQ31" s="836">
        <v>0</v>
      </c>
      <c r="AR31" s="836">
        <f t="shared" si="3"/>
        <v>-643.59819413092555</v>
      </c>
      <c r="AS31" s="879">
        <f t="shared" si="1"/>
        <v>2141.1963882618511</v>
      </c>
      <c r="AT31" s="877">
        <v>-643.59819413092555</v>
      </c>
      <c r="AU31" s="879">
        <f t="shared" si="2"/>
        <v>0</v>
      </c>
    </row>
    <row r="32" spans="1:47">
      <c r="A32" s="830">
        <v>10</v>
      </c>
      <c r="B32" s="831" t="s">
        <v>1393</v>
      </c>
      <c r="C32" s="832" t="s">
        <v>1395</v>
      </c>
      <c r="D32" s="833">
        <v>43188</v>
      </c>
      <c r="E32" s="833" t="s">
        <v>711</v>
      </c>
      <c r="F32" s="830" t="s">
        <v>713</v>
      </c>
      <c r="G32" s="830" t="s">
        <v>1116</v>
      </c>
      <c r="H32" s="830" t="s">
        <v>1128</v>
      </c>
      <c r="I32" s="830"/>
      <c r="J32" s="830" t="s">
        <v>1129</v>
      </c>
      <c r="K32" s="830"/>
      <c r="L32" s="830" t="s">
        <v>1130</v>
      </c>
      <c r="M32" s="834">
        <v>6.25</v>
      </c>
      <c r="N32" s="830" t="s">
        <v>1120</v>
      </c>
      <c r="O32" s="833">
        <v>41739</v>
      </c>
      <c r="P32" s="833">
        <v>43565</v>
      </c>
      <c r="Q32" s="833">
        <v>43137</v>
      </c>
      <c r="R32" s="833">
        <v>43018</v>
      </c>
      <c r="S32" s="833"/>
      <c r="T32" s="830">
        <v>51</v>
      </c>
      <c r="U32" s="830">
        <v>428</v>
      </c>
      <c r="V32" s="830">
        <v>31</v>
      </c>
      <c r="W32" s="830">
        <v>170</v>
      </c>
      <c r="X32" s="830">
        <v>168</v>
      </c>
      <c r="Y32" s="835">
        <v>1</v>
      </c>
      <c r="Z32" s="836">
        <v>100000</v>
      </c>
      <c r="AA32" s="837">
        <v>102.43</v>
      </c>
      <c r="AB32" s="836">
        <v>102430</v>
      </c>
      <c r="AC32" s="836">
        <v>2013.89</v>
      </c>
      <c r="AD32" s="836">
        <v>104443.89</v>
      </c>
      <c r="AE32" s="836">
        <v>2430</v>
      </c>
      <c r="AF32" s="837">
        <v>101.952</v>
      </c>
      <c r="AG32" s="836">
        <v>101952</v>
      </c>
      <c r="AH32" s="836">
        <v>5.677570093452232</v>
      </c>
      <c r="AI32" s="837">
        <v>104.886</v>
      </c>
      <c r="AJ32" s="836">
        <v>104868.66666666667</v>
      </c>
      <c r="AK32" s="836">
        <v>5.6775700934579438</v>
      </c>
      <c r="AL32" s="836">
        <v>289.55607476635515</v>
      </c>
      <c r="AM32" s="836">
        <v>2140.4439252336447</v>
      </c>
      <c r="AN32" s="836">
        <v>17.361111111111111</v>
      </c>
      <c r="AO32" s="836"/>
      <c r="AP32" s="836">
        <v>2916.6666666666665</v>
      </c>
      <c r="AQ32" s="836">
        <v>0</v>
      </c>
      <c r="AR32" s="836">
        <f t="shared" si="3"/>
        <v>-188.44392523364485</v>
      </c>
      <c r="AS32" s="879">
        <f t="shared" si="1"/>
        <v>1850.8878504672896</v>
      </c>
      <c r="AT32" s="877">
        <v>-188.44392523364485</v>
      </c>
      <c r="AU32" s="879">
        <f t="shared" si="2"/>
        <v>0</v>
      </c>
    </row>
    <row r="33" spans="1:47">
      <c r="A33" s="830">
        <v>11</v>
      </c>
      <c r="B33" s="831" t="s">
        <v>1396</v>
      </c>
      <c r="C33" s="832" t="s">
        <v>1142</v>
      </c>
      <c r="D33" s="833">
        <v>43188</v>
      </c>
      <c r="E33" s="833" t="s">
        <v>711</v>
      </c>
      <c r="F33" s="830" t="s">
        <v>706</v>
      </c>
      <c r="G33" s="830" t="s">
        <v>1116</v>
      </c>
      <c r="H33" s="830" t="s">
        <v>1136</v>
      </c>
      <c r="I33" s="830"/>
      <c r="J33" s="830" t="s">
        <v>1129</v>
      </c>
      <c r="K33" s="830"/>
      <c r="L33" s="830" t="s">
        <v>1137</v>
      </c>
      <c r="M33" s="834">
        <v>6.75</v>
      </c>
      <c r="N33" s="830" t="s">
        <v>1120</v>
      </c>
      <c r="O33" s="833">
        <v>42173</v>
      </c>
      <c r="P33" s="833">
        <v>44000</v>
      </c>
      <c r="Q33" s="833">
        <v>43096</v>
      </c>
      <c r="R33" s="833">
        <v>43087</v>
      </c>
      <c r="S33" s="833"/>
      <c r="T33" s="830">
        <v>92</v>
      </c>
      <c r="U33" s="830">
        <v>904</v>
      </c>
      <c r="V33" s="830">
        <v>31</v>
      </c>
      <c r="W33" s="830">
        <v>101</v>
      </c>
      <c r="X33" s="830">
        <v>99</v>
      </c>
      <c r="Y33" s="835">
        <v>1</v>
      </c>
      <c r="Z33" s="945">
        <v>105000</v>
      </c>
      <c r="AA33" s="837">
        <v>101.97499999999999</v>
      </c>
      <c r="AB33" s="947">
        <v>107395.05</v>
      </c>
      <c r="AC33" s="836">
        <v>177.1875</v>
      </c>
      <c r="AD33" s="836">
        <v>107250.9375</v>
      </c>
      <c r="AE33" s="836">
        <v>2073.75</v>
      </c>
      <c r="AF33" s="837">
        <v>102.752</v>
      </c>
      <c r="AG33" s="836">
        <v>107889.60000000001</v>
      </c>
      <c r="AH33" s="836">
        <v>2.2939712389343185</v>
      </c>
      <c r="AI33" s="837">
        <v>104.646</v>
      </c>
      <c r="AJ33" s="836">
        <v>109838.66250000001</v>
      </c>
      <c r="AK33" s="836">
        <v>2.2939712389380529</v>
      </c>
      <c r="AL33" s="836">
        <v>211.04535398230087</v>
      </c>
      <c r="AM33" s="836">
        <v>1862.7046460176991</v>
      </c>
      <c r="AN33" s="836">
        <v>19.687500000000004</v>
      </c>
      <c r="AO33" s="836"/>
      <c r="AP33" s="836">
        <v>1949.0625000000005</v>
      </c>
      <c r="AQ33" s="836">
        <v>0</v>
      </c>
      <c r="AR33" s="836">
        <f t="shared" si="3"/>
        <v>705.59535398230378</v>
      </c>
      <c r="AS33" s="879">
        <f t="shared" si="1"/>
        <v>1651.6592920353983</v>
      </c>
      <c r="AT33" s="877">
        <v>1026.8953539823067</v>
      </c>
      <c r="AU33" s="879">
        <f t="shared" si="2"/>
        <v>-321.30000000000291</v>
      </c>
    </row>
    <row r="34" spans="1:47">
      <c r="A34" s="830">
        <v>12</v>
      </c>
      <c r="B34" s="831" t="s">
        <v>1396</v>
      </c>
      <c r="C34" s="832" t="s">
        <v>1397</v>
      </c>
      <c r="D34" s="833">
        <v>43188</v>
      </c>
      <c r="E34" s="833" t="s">
        <v>711</v>
      </c>
      <c r="F34" s="830" t="s">
        <v>706</v>
      </c>
      <c r="G34" s="830" t="s">
        <v>1116</v>
      </c>
      <c r="H34" s="830" t="s">
        <v>1136</v>
      </c>
      <c r="I34" s="830"/>
      <c r="J34" s="830" t="s">
        <v>1129</v>
      </c>
      <c r="K34" s="830"/>
      <c r="L34" s="830" t="s">
        <v>1137</v>
      </c>
      <c r="M34" s="834">
        <v>6.75</v>
      </c>
      <c r="N34" s="830" t="s">
        <v>1120</v>
      </c>
      <c r="O34" s="833">
        <v>42173</v>
      </c>
      <c r="P34" s="833">
        <v>44000</v>
      </c>
      <c r="Q34" s="833">
        <v>43161</v>
      </c>
      <c r="R34" s="833">
        <v>43087</v>
      </c>
      <c r="S34" s="833"/>
      <c r="T34" s="830">
        <v>27</v>
      </c>
      <c r="U34" s="830">
        <v>839</v>
      </c>
      <c r="V34" s="830">
        <v>31</v>
      </c>
      <c r="W34" s="830">
        <v>101</v>
      </c>
      <c r="X34" s="830">
        <v>99</v>
      </c>
      <c r="Y34" s="835">
        <v>1</v>
      </c>
      <c r="Z34" s="836">
        <v>250000</v>
      </c>
      <c r="AA34" s="837">
        <v>102.72</v>
      </c>
      <c r="AB34" s="836">
        <v>256799.99999999997</v>
      </c>
      <c r="AC34" s="836">
        <v>3468.75</v>
      </c>
      <c r="AD34" s="836">
        <v>260268.74999999997</v>
      </c>
      <c r="AE34" s="836">
        <v>6799.9999999999709</v>
      </c>
      <c r="AF34" s="837">
        <v>102.752</v>
      </c>
      <c r="AG34" s="836">
        <v>256880</v>
      </c>
      <c r="AH34" s="836">
        <v>8.1048867699573748</v>
      </c>
      <c r="AI34" s="837">
        <v>104.646</v>
      </c>
      <c r="AJ34" s="836">
        <v>261520.625</v>
      </c>
      <c r="AK34" s="836">
        <v>8.1048867699642084</v>
      </c>
      <c r="AL34" s="836">
        <v>218.83194278903363</v>
      </c>
      <c r="AM34" s="836">
        <v>6581.1680572109371</v>
      </c>
      <c r="AN34" s="836">
        <v>46.875</v>
      </c>
      <c r="AO34" s="836"/>
      <c r="AP34" s="836">
        <v>4640.625</v>
      </c>
      <c r="AQ34" s="836">
        <v>0</v>
      </c>
      <c r="AR34" s="836">
        <f t="shared" si="3"/>
        <v>298.83194278906274</v>
      </c>
      <c r="AS34" s="879">
        <f t="shared" si="1"/>
        <v>6362.3361144219034</v>
      </c>
      <c r="AT34" s="877">
        <v>298.83194278906274</v>
      </c>
      <c r="AU34" s="879">
        <f t="shared" si="2"/>
        <v>0</v>
      </c>
    </row>
    <row r="35" spans="1:47">
      <c r="A35" s="830">
        <v>13</v>
      </c>
      <c r="B35" s="831" t="s">
        <v>1396</v>
      </c>
      <c r="C35" s="832" t="s">
        <v>1398</v>
      </c>
      <c r="D35" s="833">
        <v>43188</v>
      </c>
      <c r="E35" s="833" t="s">
        <v>711</v>
      </c>
      <c r="F35" s="830" t="s">
        <v>706</v>
      </c>
      <c r="G35" s="830" t="s">
        <v>1116</v>
      </c>
      <c r="H35" s="830" t="s">
        <v>1136</v>
      </c>
      <c r="I35" s="830"/>
      <c r="J35" s="830" t="s">
        <v>1129</v>
      </c>
      <c r="K35" s="830"/>
      <c r="L35" s="830" t="s">
        <v>1137</v>
      </c>
      <c r="M35" s="834">
        <v>6.75</v>
      </c>
      <c r="N35" s="830" t="s">
        <v>1120</v>
      </c>
      <c r="O35" s="833">
        <v>42173</v>
      </c>
      <c r="P35" s="833">
        <v>44000</v>
      </c>
      <c r="Q35" s="833">
        <v>43168</v>
      </c>
      <c r="R35" s="833">
        <v>43087</v>
      </c>
      <c r="S35" s="833"/>
      <c r="T35" s="830">
        <v>20</v>
      </c>
      <c r="U35" s="830">
        <v>832</v>
      </c>
      <c r="V35" s="830">
        <v>31</v>
      </c>
      <c r="W35" s="830">
        <v>101</v>
      </c>
      <c r="X35" s="830">
        <v>99</v>
      </c>
      <c r="Y35" s="835">
        <v>1</v>
      </c>
      <c r="Z35" s="836">
        <v>636000</v>
      </c>
      <c r="AA35" s="837">
        <v>102.75</v>
      </c>
      <c r="AB35" s="836">
        <v>653490</v>
      </c>
      <c r="AC35" s="836">
        <v>9659.25</v>
      </c>
      <c r="AD35" s="836">
        <v>663149.25</v>
      </c>
      <c r="AE35" s="836">
        <v>17490</v>
      </c>
      <c r="AF35" s="837">
        <v>102.752</v>
      </c>
      <c r="AG35" s="836">
        <v>653502.71999999997</v>
      </c>
      <c r="AH35" s="836">
        <v>21.02163461537566</v>
      </c>
      <c r="AI35" s="837">
        <v>104.646</v>
      </c>
      <c r="AJ35" s="836">
        <v>665308.47</v>
      </c>
      <c r="AK35" s="836">
        <v>21.021634615384617</v>
      </c>
      <c r="AL35" s="836">
        <v>420.43269230769232</v>
      </c>
      <c r="AM35" s="836">
        <v>17069.567307692309</v>
      </c>
      <c r="AN35" s="836">
        <v>119.25</v>
      </c>
      <c r="AO35" s="836"/>
      <c r="AP35" s="836">
        <v>11805.75</v>
      </c>
      <c r="AQ35" s="836">
        <v>0</v>
      </c>
      <c r="AR35" s="836">
        <f t="shared" si="3"/>
        <v>433.15269230766438</v>
      </c>
      <c r="AS35" s="879">
        <f t="shared" si="1"/>
        <v>16649.134615384617</v>
      </c>
      <c r="AT35" s="877">
        <v>433.15269230766438</v>
      </c>
      <c r="AU35" s="879">
        <f t="shared" si="2"/>
        <v>0</v>
      </c>
    </row>
    <row r="36" spans="1:47">
      <c r="A36" s="830">
        <v>14</v>
      </c>
      <c r="B36" s="831" t="s">
        <v>1396</v>
      </c>
      <c r="C36" s="832" t="s">
        <v>1399</v>
      </c>
      <c r="D36" s="833">
        <v>43188</v>
      </c>
      <c r="E36" s="833" t="s">
        <v>711</v>
      </c>
      <c r="F36" s="830" t="s">
        <v>706</v>
      </c>
      <c r="G36" s="830" t="s">
        <v>1116</v>
      </c>
      <c r="H36" s="830" t="s">
        <v>1136</v>
      </c>
      <c r="I36" s="830"/>
      <c r="J36" s="830" t="s">
        <v>1129</v>
      </c>
      <c r="K36" s="830"/>
      <c r="L36" s="830" t="s">
        <v>1137</v>
      </c>
      <c r="M36" s="834">
        <v>6.75</v>
      </c>
      <c r="N36" s="830" t="s">
        <v>1120</v>
      </c>
      <c r="O36" s="833">
        <v>42173</v>
      </c>
      <c r="P36" s="833">
        <v>44000</v>
      </c>
      <c r="Q36" s="833">
        <v>43185</v>
      </c>
      <c r="R36" s="833">
        <v>43087</v>
      </c>
      <c r="S36" s="833"/>
      <c r="T36" s="830">
        <v>3</v>
      </c>
      <c r="U36" s="830">
        <v>815</v>
      </c>
      <c r="V36" s="830">
        <v>31</v>
      </c>
      <c r="W36" s="830">
        <v>101</v>
      </c>
      <c r="X36" s="830">
        <v>99</v>
      </c>
      <c r="Y36" s="835">
        <v>1</v>
      </c>
      <c r="Z36" s="836">
        <v>200000</v>
      </c>
      <c r="AA36" s="837">
        <v>102.6</v>
      </c>
      <c r="AB36" s="836">
        <v>205200</v>
      </c>
      <c r="AC36" s="836">
        <v>3675</v>
      </c>
      <c r="AD36" s="836">
        <v>208875</v>
      </c>
      <c r="AE36" s="836">
        <v>5200</v>
      </c>
      <c r="AF36" s="837">
        <v>102.752</v>
      </c>
      <c r="AG36" s="836">
        <v>205504</v>
      </c>
      <c r="AH36" s="836">
        <v>6.3803680981509387</v>
      </c>
      <c r="AI36" s="837">
        <v>104.646</v>
      </c>
      <c r="AJ36" s="836">
        <v>209216.5</v>
      </c>
      <c r="AK36" s="836">
        <v>6.3803680981595088</v>
      </c>
      <c r="AL36" s="836">
        <v>19.141104294478527</v>
      </c>
      <c r="AM36" s="836">
        <v>5180.8588957055217</v>
      </c>
      <c r="AN36" s="836">
        <v>37.5</v>
      </c>
      <c r="AO36" s="836"/>
      <c r="AP36" s="836">
        <v>3712.5</v>
      </c>
      <c r="AQ36" s="836">
        <v>0</v>
      </c>
      <c r="AR36" s="836">
        <f t="shared" si="3"/>
        <v>323.14110429447851</v>
      </c>
      <c r="AS36" s="879">
        <f t="shared" si="1"/>
        <v>5161.7177914110434</v>
      </c>
      <c r="AT36" s="877">
        <v>323.14110429447851</v>
      </c>
      <c r="AU36" s="879">
        <f t="shared" si="2"/>
        <v>0</v>
      </c>
    </row>
    <row r="37" spans="1:47">
      <c r="A37" s="830">
        <v>15</v>
      </c>
      <c r="B37" s="831" t="s">
        <v>1400</v>
      </c>
      <c r="C37" s="832" t="s">
        <v>1401</v>
      </c>
      <c r="D37" s="833">
        <v>43188</v>
      </c>
      <c r="E37" s="833" t="s">
        <v>711</v>
      </c>
      <c r="F37" s="830" t="s">
        <v>1250</v>
      </c>
      <c r="G37" s="830" t="s">
        <v>1116</v>
      </c>
      <c r="H37" s="830" t="s">
        <v>1402</v>
      </c>
      <c r="I37" s="830"/>
      <c r="J37" s="830" t="s">
        <v>1129</v>
      </c>
      <c r="K37" s="830"/>
      <c r="L37" s="830">
        <v>0</v>
      </c>
      <c r="M37" s="834">
        <v>4.75</v>
      </c>
      <c r="N37" s="830" t="s">
        <v>1120</v>
      </c>
      <c r="O37" s="833">
        <v>41178</v>
      </c>
      <c r="P37" s="833">
        <v>44830</v>
      </c>
      <c r="Q37" s="833">
        <v>43122</v>
      </c>
      <c r="R37" s="833">
        <v>43185</v>
      </c>
      <c r="S37" s="833"/>
      <c r="T37" s="830">
        <v>66</v>
      </c>
      <c r="U37" s="830">
        <v>1708</v>
      </c>
      <c r="V37" s="830">
        <v>31</v>
      </c>
      <c r="W37" s="830">
        <v>3</v>
      </c>
      <c r="X37" s="830">
        <v>1</v>
      </c>
      <c r="Y37" s="835">
        <v>1</v>
      </c>
      <c r="Z37" s="836">
        <v>70000</v>
      </c>
      <c r="AA37" s="837">
        <v>102.383</v>
      </c>
      <c r="AB37" s="836">
        <v>71668.100000000006</v>
      </c>
      <c r="AC37" s="836">
        <v>1071.3892000000001</v>
      </c>
      <c r="AD37" s="836">
        <v>72739.489200000011</v>
      </c>
      <c r="AE37" s="836">
        <v>1668.1000000000058</v>
      </c>
      <c r="AF37" s="837">
        <v>100.47</v>
      </c>
      <c r="AG37" s="836">
        <v>70329</v>
      </c>
      <c r="AH37" s="836">
        <v>0.97663934425509069</v>
      </c>
      <c r="AI37" s="837">
        <v>100.51</v>
      </c>
      <c r="AJ37" s="836">
        <v>70338.236111111109</v>
      </c>
      <c r="AK37" s="836">
        <v>0.97663934426229848</v>
      </c>
      <c r="AL37" s="836">
        <v>64.458196721311694</v>
      </c>
      <c r="AM37" s="836">
        <v>1603.6418032786942</v>
      </c>
      <c r="AN37" s="836">
        <v>9.2361111111111107</v>
      </c>
      <c r="AO37" s="836"/>
      <c r="AP37" s="836">
        <v>9.2361111111111107</v>
      </c>
      <c r="AQ37" s="836">
        <v>0</v>
      </c>
      <c r="AR37" s="836">
        <f t="shared" si="3"/>
        <v>-1274.6418032786942</v>
      </c>
      <c r="AS37" s="879">
        <f t="shared" si="1"/>
        <v>1539.1836065573825</v>
      </c>
      <c r="AT37" s="877">
        <v>-1274.6418032786942</v>
      </c>
      <c r="AU37" s="879">
        <f t="shared" si="2"/>
        <v>0</v>
      </c>
    </row>
    <row r="38" spans="1:47">
      <c r="A38" s="830">
        <v>16</v>
      </c>
      <c r="B38" s="831" t="s">
        <v>1400</v>
      </c>
      <c r="C38" s="832" t="s">
        <v>1403</v>
      </c>
      <c r="D38" s="833">
        <v>43188</v>
      </c>
      <c r="E38" s="833" t="s">
        <v>711</v>
      </c>
      <c r="F38" s="830" t="s">
        <v>1250</v>
      </c>
      <c r="G38" s="830" t="s">
        <v>1116</v>
      </c>
      <c r="H38" s="830" t="s">
        <v>1402</v>
      </c>
      <c r="I38" s="830"/>
      <c r="J38" s="830" t="s">
        <v>1129</v>
      </c>
      <c r="K38" s="830"/>
      <c r="L38" s="830">
        <v>0</v>
      </c>
      <c r="M38" s="834">
        <v>4.75</v>
      </c>
      <c r="N38" s="830" t="s">
        <v>1120</v>
      </c>
      <c r="O38" s="833">
        <v>41178</v>
      </c>
      <c r="P38" s="833">
        <v>44830</v>
      </c>
      <c r="Q38" s="833">
        <v>43178</v>
      </c>
      <c r="R38" s="833">
        <v>43185</v>
      </c>
      <c r="S38" s="833"/>
      <c r="T38" s="830">
        <v>10</v>
      </c>
      <c r="U38" s="830">
        <v>1652</v>
      </c>
      <c r="V38" s="830">
        <v>31</v>
      </c>
      <c r="W38" s="830">
        <v>3</v>
      </c>
      <c r="X38" s="830">
        <v>1</v>
      </c>
      <c r="Y38" s="835">
        <v>1</v>
      </c>
      <c r="Z38" s="836">
        <v>500000</v>
      </c>
      <c r="AA38" s="837">
        <v>101.08</v>
      </c>
      <c r="AB38" s="836">
        <v>505399.99999999994</v>
      </c>
      <c r="AC38" s="836">
        <v>11413.19</v>
      </c>
      <c r="AD38" s="836">
        <v>516813.18999999994</v>
      </c>
      <c r="AE38" s="836">
        <v>5399.9999999999418</v>
      </c>
      <c r="AF38" s="837">
        <v>100.47</v>
      </c>
      <c r="AG38" s="836">
        <v>502349.99999999994</v>
      </c>
      <c r="AH38" s="836">
        <v>3.2687651331652887</v>
      </c>
      <c r="AI38" s="837">
        <v>100.51</v>
      </c>
      <c r="AJ38" s="836">
        <v>502415.97222222219</v>
      </c>
      <c r="AK38" s="836">
        <v>3.2687651331718777</v>
      </c>
      <c r="AL38" s="836">
        <v>32.687651331718776</v>
      </c>
      <c r="AM38" s="836">
        <v>5367.3123486682234</v>
      </c>
      <c r="AN38" s="836">
        <v>65.972222222222229</v>
      </c>
      <c r="AO38" s="836"/>
      <c r="AP38" s="836">
        <v>65.972222222222229</v>
      </c>
      <c r="AQ38" s="836">
        <v>0</v>
      </c>
      <c r="AR38" s="836">
        <f t="shared" si="3"/>
        <v>-3017.3123486682812</v>
      </c>
      <c r="AS38" s="879">
        <f t="shared" si="1"/>
        <v>5334.6246973365051</v>
      </c>
      <c r="AT38" s="877">
        <v>-3017.3123486682812</v>
      </c>
      <c r="AU38" s="879">
        <f t="shared" si="2"/>
        <v>0</v>
      </c>
    </row>
    <row r="39" spans="1:47">
      <c r="A39" s="830">
        <v>17</v>
      </c>
      <c r="B39" s="831" t="s">
        <v>1404</v>
      </c>
      <c r="C39" s="832" t="s">
        <v>1405</v>
      </c>
      <c r="D39" s="833">
        <v>43188</v>
      </c>
      <c r="E39" s="833" t="s">
        <v>711</v>
      </c>
      <c r="F39" s="830" t="s">
        <v>1319</v>
      </c>
      <c r="G39" s="830" t="s">
        <v>1116</v>
      </c>
      <c r="H39" s="830" t="s">
        <v>1406</v>
      </c>
      <c r="I39" s="830"/>
      <c r="J39" s="830" t="s">
        <v>1388</v>
      </c>
      <c r="K39" s="830"/>
      <c r="L39" s="830">
        <v>0</v>
      </c>
      <c r="M39" s="834">
        <v>5.875</v>
      </c>
      <c r="N39" s="830" t="s">
        <v>1120</v>
      </c>
      <c r="O39" s="833">
        <v>41099</v>
      </c>
      <c r="P39" s="833">
        <v>44751</v>
      </c>
      <c r="Q39" s="833">
        <v>43124</v>
      </c>
      <c r="R39" s="833">
        <v>43109</v>
      </c>
      <c r="S39" s="833"/>
      <c r="T39" s="830">
        <v>64</v>
      </c>
      <c r="U39" s="830">
        <v>1627</v>
      </c>
      <c r="V39" s="830">
        <v>31</v>
      </c>
      <c r="W39" s="830">
        <v>79</v>
      </c>
      <c r="X39" s="830">
        <v>77</v>
      </c>
      <c r="Y39" s="835">
        <v>1</v>
      </c>
      <c r="Z39" s="836">
        <v>275000</v>
      </c>
      <c r="AA39" s="837">
        <v>106.75</v>
      </c>
      <c r="AB39" s="836">
        <v>293562.49999999994</v>
      </c>
      <c r="AC39" s="836">
        <v>673.18</v>
      </c>
      <c r="AD39" s="836">
        <v>294235.67999999993</v>
      </c>
      <c r="AE39" s="836">
        <v>18562.499999999942</v>
      </c>
      <c r="AF39" s="837">
        <v>105.61799999999999</v>
      </c>
      <c r="AG39" s="836">
        <v>290449.5</v>
      </c>
      <c r="AH39" s="836">
        <v>11.409035033779219</v>
      </c>
      <c r="AI39" s="837">
        <v>106.92400000000001</v>
      </c>
      <c r="AJ39" s="836">
        <v>293905.14236111112</v>
      </c>
      <c r="AK39" s="836">
        <v>11.409035033804512</v>
      </c>
      <c r="AL39" s="836">
        <v>730.17824216348879</v>
      </c>
      <c r="AM39" s="836">
        <v>17832.321757836453</v>
      </c>
      <c r="AN39" s="836">
        <v>44.878472222222214</v>
      </c>
      <c r="AO39" s="836"/>
      <c r="AP39" s="836">
        <v>3455.6423611111104</v>
      </c>
      <c r="AQ39" s="836">
        <v>0</v>
      </c>
      <c r="AR39" s="836">
        <f t="shared" si="3"/>
        <v>-2382.8217578364529</v>
      </c>
      <c r="AS39" s="879">
        <f t="shared" si="1"/>
        <v>17102.143515672964</v>
      </c>
      <c r="AT39" s="877">
        <v>-2382.8217578364529</v>
      </c>
      <c r="AU39" s="879">
        <f t="shared" si="2"/>
        <v>0</v>
      </c>
    </row>
    <row r="40" spans="1:47">
      <c r="A40" s="830">
        <v>18</v>
      </c>
      <c r="B40" s="831" t="s">
        <v>1404</v>
      </c>
      <c r="C40" s="832" t="s">
        <v>1407</v>
      </c>
      <c r="D40" s="833">
        <v>43188</v>
      </c>
      <c r="E40" s="833" t="s">
        <v>711</v>
      </c>
      <c r="F40" s="830" t="s">
        <v>1319</v>
      </c>
      <c r="G40" s="830" t="s">
        <v>1116</v>
      </c>
      <c r="H40" s="830" t="s">
        <v>1406</v>
      </c>
      <c r="I40" s="830"/>
      <c r="J40" s="830" t="s">
        <v>1388</v>
      </c>
      <c r="K40" s="830"/>
      <c r="L40" s="830">
        <v>0</v>
      </c>
      <c r="M40" s="834">
        <v>5.875</v>
      </c>
      <c r="N40" s="830" t="s">
        <v>1120</v>
      </c>
      <c r="O40" s="833">
        <v>41099</v>
      </c>
      <c r="P40" s="833">
        <v>44751</v>
      </c>
      <c r="Q40" s="833">
        <v>43140</v>
      </c>
      <c r="R40" s="833">
        <v>43109</v>
      </c>
      <c r="S40" s="833"/>
      <c r="T40" s="830">
        <v>48</v>
      </c>
      <c r="U40" s="830">
        <v>1611</v>
      </c>
      <c r="V40" s="830">
        <v>31</v>
      </c>
      <c r="W40" s="830">
        <v>79</v>
      </c>
      <c r="X40" s="830">
        <v>77</v>
      </c>
      <c r="Y40" s="835">
        <v>1</v>
      </c>
      <c r="Z40" s="836">
        <v>300000</v>
      </c>
      <c r="AA40" s="837">
        <v>106.25</v>
      </c>
      <c r="AB40" s="836">
        <v>318750</v>
      </c>
      <c r="AC40" s="836">
        <v>1468.75</v>
      </c>
      <c r="AD40" s="836">
        <v>320218.75</v>
      </c>
      <c r="AE40" s="836">
        <v>18750</v>
      </c>
      <c r="AF40" s="837">
        <v>105.61799999999999</v>
      </c>
      <c r="AG40" s="836">
        <v>316853.99999999994</v>
      </c>
      <c r="AH40" s="836">
        <v>11.638733705796767</v>
      </c>
      <c r="AI40" s="837">
        <v>106.92400000000001</v>
      </c>
      <c r="AJ40" s="836">
        <v>320623.79166666663</v>
      </c>
      <c r="AK40" s="836">
        <v>11.638733705772811</v>
      </c>
      <c r="AL40" s="836">
        <v>558.65921787709499</v>
      </c>
      <c r="AM40" s="836">
        <v>18191.340782122905</v>
      </c>
      <c r="AN40" s="836">
        <v>48.958333333333336</v>
      </c>
      <c r="AO40" s="836"/>
      <c r="AP40" s="836">
        <v>3769.791666666667</v>
      </c>
      <c r="AQ40" s="836">
        <v>0</v>
      </c>
      <c r="AR40" s="836">
        <f t="shared" si="3"/>
        <v>-1337.3407821229632</v>
      </c>
      <c r="AS40" s="879">
        <f t="shared" si="1"/>
        <v>17632.68156424581</v>
      </c>
      <c r="AT40" s="877">
        <v>-1337.3407821229632</v>
      </c>
      <c r="AU40" s="879">
        <f t="shared" si="2"/>
        <v>0</v>
      </c>
    </row>
    <row r="41" spans="1:47">
      <c r="A41" s="830">
        <v>19</v>
      </c>
      <c r="B41" s="831" t="s">
        <v>1408</v>
      </c>
      <c r="C41" s="832" t="s">
        <v>1144</v>
      </c>
      <c r="D41" s="833">
        <v>43188</v>
      </c>
      <c r="E41" s="833" t="s">
        <v>711</v>
      </c>
      <c r="F41" s="830" t="s">
        <v>842</v>
      </c>
      <c r="G41" s="830" t="s">
        <v>1116</v>
      </c>
      <c r="H41" s="830" t="s">
        <v>1145</v>
      </c>
      <c r="I41" s="830"/>
      <c r="J41" s="830" t="s">
        <v>1146</v>
      </c>
      <c r="K41" s="830"/>
      <c r="L41" s="830" t="s">
        <v>1147</v>
      </c>
      <c r="M41" s="834">
        <v>6.875</v>
      </c>
      <c r="N41" s="830" t="s">
        <v>1120</v>
      </c>
      <c r="O41" s="833">
        <v>40802</v>
      </c>
      <c r="P41" s="833">
        <v>46281</v>
      </c>
      <c r="Q41" s="833">
        <v>43080</v>
      </c>
      <c r="R41" s="833">
        <v>43175</v>
      </c>
      <c r="S41" s="833"/>
      <c r="T41" s="830">
        <v>108</v>
      </c>
      <c r="U41" s="830">
        <v>3201</v>
      </c>
      <c r="V41" s="830">
        <v>31</v>
      </c>
      <c r="W41" s="830">
        <v>13</v>
      </c>
      <c r="X41" s="830">
        <v>11</v>
      </c>
      <c r="Y41" s="835">
        <v>1</v>
      </c>
      <c r="Z41" s="945">
        <v>200000</v>
      </c>
      <c r="AA41" s="837">
        <v>112.65</v>
      </c>
      <c r="AB41" s="947">
        <v>226300</v>
      </c>
      <c r="AC41" s="836">
        <v>3246.53</v>
      </c>
      <c r="AD41" s="836">
        <v>228546.53</v>
      </c>
      <c r="AE41" s="836">
        <v>25300</v>
      </c>
      <c r="AF41" s="837">
        <v>108.94</v>
      </c>
      <c r="AG41" s="836">
        <v>217879.99999999997</v>
      </c>
      <c r="AH41" s="836">
        <v>7.9037800687365234</v>
      </c>
      <c r="AI41" s="837">
        <v>109.188</v>
      </c>
      <c r="AJ41" s="836">
        <v>218300.13888888885</v>
      </c>
      <c r="AK41" s="836">
        <v>7.9037800687285227</v>
      </c>
      <c r="AL41" s="836">
        <v>853.60824742268051</v>
      </c>
      <c r="AM41" s="836">
        <v>24446.391752577321</v>
      </c>
      <c r="AN41" s="836">
        <v>38.19444444444445</v>
      </c>
      <c r="AO41" s="836"/>
      <c r="AP41" s="836">
        <v>420.13888888888897</v>
      </c>
      <c r="AQ41" s="836">
        <v>0</v>
      </c>
      <c r="AR41" s="836">
        <f t="shared" si="3"/>
        <v>-7566.3917525773486</v>
      </c>
      <c r="AS41" s="879">
        <f t="shared" si="1"/>
        <v>23592.783505154643</v>
      </c>
      <c r="AT41" s="877">
        <v>-6566.3917525773486</v>
      </c>
      <c r="AU41" s="879">
        <f t="shared" si="2"/>
        <v>-1000</v>
      </c>
    </row>
    <row r="42" spans="1:47">
      <c r="A42" s="830">
        <v>20</v>
      </c>
      <c r="B42" s="831" t="s">
        <v>1408</v>
      </c>
      <c r="C42" s="832" t="s">
        <v>1409</v>
      </c>
      <c r="D42" s="833">
        <v>43188</v>
      </c>
      <c r="E42" s="833" t="s">
        <v>711</v>
      </c>
      <c r="F42" s="830" t="s">
        <v>842</v>
      </c>
      <c r="G42" s="830" t="s">
        <v>1116</v>
      </c>
      <c r="H42" s="830" t="s">
        <v>1145</v>
      </c>
      <c r="I42" s="830"/>
      <c r="J42" s="830" t="s">
        <v>1146</v>
      </c>
      <c r="K42" s="830"/>
      <c r="L42" s="830" t="s">
        <v>1147</v>
      </c>
      <c r="M42" s="834">
        <v>6.875</v>
      </c>
      <c r="N42" s="830" t="s">
        <v>1120</v>
      </c>
      <c r="O42" s="833">
        <v>40802</v>
      </c>
      <c r="P42" s="833">
        <v>46281</v>
      </c>
      <c r="Q42" s="833">
        <v>43109</v>
      </c>
      <c r="R42" s="833">
        <v>43175</v>
      </c>
      <c r="S42" s="833"/>
      <c r="T42" s="830">
        <v>79</v>
      </c>
      <c r="U42" s="830">
        <v>3172</v>
      </c>
      <c r="V42" s="830">
        <v>31</v>
      </c>
      <c r="W42" s="830">
        <v>13</v>
      </c>
      <c r="X42" s="830">
        <v>11</v>
      </c>
      <c r="Y42" s="835">
        <v>1</v>
      </c>
      <c r="Z42" s="836">
        <v>500000</v>
      </c>
      <c r="AA42" s="837">
        <v>112.703</v>
      </c>
      <c r="AB42" s="836">
        <v>563515</v>
      </c>
      <c r="AC42" s="836">
        <v>10789.93</v>
      </c>
      <c r="AD42" s="836">
        <v>574304.93000000005</v>
      </c>
      <c r="AE42" s="836">
        <v>63515</v>
      </c>
      <c r="AF42" s="837">
        <v>108.94</v>
      </c>
      <c r="AG42" s="836">
        <v>544700</v>
      </c>
      <c r="AH42" s="836">
        <v>20.023644388420507</v>
      </c>
      <c r="AI42" s="837">
        <v>109.188</v>
      </c>
      <c r="AJ42" s="836">
        <v>545750.34722222225</v>
      </c>
      <c r="AK42" s="836">
        <v>20.023644388398488</v>
      </c>
      <c r="AL42" s="836">
        <v>1581.8679066834804</v>
      </c>
      <c r="AM42" s="836">
        <v>61933.132093316519</v>
      </c>
      <c r="AN42" s="836">
        <v>95.486111111111114</v>
      </c>
      <c r="AO42" s="836"/>
      <c r="AP42" s="836">
        <v>1050.3472222222222</v>
      </c>
      <c r="AQ42" s="836">
        <v>0</v>
      </c>
      <c r="AR42" s="836">
        <f t="shared" si="3"/>
        <v>-17233.132093316519</v>
      </c>
      <c r="AS42" s="879">
        <f t="shared" si="1"/>
        <v>60351.264186633038</v>
      </c>
      <c r="AT42" s="877">
        <v>-17233.132093316519</v>
      </c>
      <c r="AU42" s="879">
        <f t="shared" si="2"/>
        <v>0</v>
      </c>
    </row>
    <row r="43" spans="1:47">
      <c r="A43" s="830">
        <v>21</v>
      </c>
      <c r="B43" s="831" t="s">
        <v>1408</v>
      </c>
      <c r="C43" s="832" t="s">
        <v>1410</v>
      </c>
      <c r="D43" s="833">
        <v>43188</v>
      </c>
      <c r="E43" s="833" t="s">
        <v>711</v>
      </c>
      <c r="F43" s="830" t="s">
        <v>842</v>
      </c>
      <c r="G43" s="830" t="s">
        <v>1116</v>
      </c>
      <c r="H43" s="830" t="s">
        <v>1145</v>
      </c>
      <c r="I43" s="830"/>
      <c r="J43" s="830" t="s">
        <v>1146</v>
      </c>
      <c r="K43" s="830"/>
      <c r="L43" s="830" t="s">
        <v>1147</v>
      </c>
      <c r="M43" s="834">
        <v>6.875</v>
      </c>
      <c r="N43" s="830" t="s">
        <v>1120</v>
      </c>
      <c r="O43" s="833">
        <v>40802</v>
      </c>
      <c r="P43" s="833">
        <v>46281</v>
      </c>
      <c r="Q43" s="833">
        <v>43119</v>
      </c>
      <c r="R43" s="833">
        <v>43175</v>
      </c>
      <c r="S43" s="833"/>
      <c r="T43" s="830">
        <v>69</v>
      </c>
      <c r="U43" s="830">
        <v>3162</v>
      </c>
      <c r="V43" s="830">
        <v>31</v>
      </c>
      <c r="W43" s="830">
        <v>13</v>
      </c>
      <c r="X43" s="830">
        <v>11</v>
      </c>
      <c r="Y43" s="835">
        <v>1</v>
      </c>
      <c r="Z43" s="836">
        <v>300000</v>
      </c>
      <c r="AA43" s="837">
        <v>112.6</v>
      </c>
      <c r="AB43" s="836">
        <v>337799.99999999994</v>
      </c>
      <c r="AC43" s="836">
        <v>7046.88</v>
      </c>
      <c r="AD43" s="836">
        <v>344846.87999999995</v>
      </c>
      <c r="AE43" s="836">
        <v>37799.999999999942</v>
      </c>
      <c r="AF43" s="837">
        <v>108.94</v>
      </c>
      <c r="AG43" s="836">
        <v>326820</v>
      </c>
      <c r="AH43" s="836">
        <v>11.954459203057922</v>
      </c>
      <c r="AI43" s="837">
        <v>109.188</v>
      </c>
      <c r="AJ43" s="836">
        <v>327450.20833333331</v>
      </c>
      <c r="AK43" s="836">
        <v>11.954459203036034</v>
      </c>
      <c r="AL43" s="836">
        <v>824.85768500948632</v>
      </c>
      <c r="AM43" s="836">
        <v>36975.142314990459</v>
      </c>
      <c r="AN43" s="836">
        <v>57.291666666666664</v>
      </c>
      <c r="AO43" s="836"/>
      <c r="AP43" s="836">
        <v>630.20833333333326</v>
      </c>
      <c r="AQ43" s="836">
        <v>0</v>
      </c>
      <c r="AR43" s="836">
        <f t="shared" si="3"/>
        <v>-10155.142314990455</v>
      </c>
      <c r="AS43" s="879">
        <f t="shared" si="1"/>
        <v>36150.284629980975</v>
      </c>
      <c r="AT43" s="877">
        <v>-10155.142314990455</v>
      </c>
      <c r="AU43" s="879">
        <f t="shared" si="2"/>
        <v>0</v>
      </c>
    </row>
    <row r="44" spans="1:47">
      <c r="A44" s="830">
        <v>22</v>
      </c>
      <c r="B44" s="831" t="s">
        <v>1411</v>
      </c>
      <c r="C44" s="832" t="s">
        <v>1412</v>
      </c>
      <c r="D44" s="833">
        <v>43188</v>
      </c>
      <c r="E44" s="833" t="s">
        <v>711</v>
      </c>
      <c r="F44" s="830" t="s">
        <v>718</v>
      </c>
      <c r="G44" s="830" t="s">
        <v>1116</v>
      </c>
      <c r="H44" s="830" t="s">
        <v>1145</v>
      </c>
      <c r="I44" s="830"/>
      <c r="J44" s="830" t="s">
        <v>1146</v>
      </c>
      <c r="K44" s="830"/>
      <c r="L44" s="830">
        <v>0</v>
      </c>
      <c r="M44" s="834">
        <v>6.125</v>
      </c>
      <c r="N44" s="830" t="s">
        <v>1120</v>
      </c>
      <c r="O44" s="833">
        <v>41023</v>
      </c>
      <c r="P44" s="833">
        <v>46501</v>
      </c>
      <c r="Q44" s="833">
        <v>43172</v>
      </c>
      <c r="R44" s="833">
        <v>43032</v>
      </c>
      <c r="S44" s="833"/>
      <c r="T44" s="830">
        <v>16</v>
      </c>
      <c r="U44" s="830">
        <v>3329</v>
      </c>
      <c r="V44" s="830">
        <v>31</v>
      </c>
      <c r="W44" s="830">
        <v>156</v>
      </c>
      <c r="X44" s="830">
        <v>154</v>
      </c>
      <c r="Y44" s="835">
        <v>1</v>
      </c>
      <c r="Z44" s="836">
        <v>250000</v>
      </c>
      <c r="AA44" s="837">
        <v>107.3</v>
      </c>
      <c r="AB44" s="836">
        <v>268250</v>
      </c>
      <c r="AC44" s="836">
        <v>5912.33</v>
      </c>
      <c r="AD44" s="836">
        <v>274162.33</v>
      </c>
      <c r="AE44" s="836">
        <v>18250</v>
      </c>
      <c r="AF44" s="837">
        <v>107.373</v>
      </c>
      <c r="AG44" s="836">
        <v>268432.5</v>
      </c>
      <c r="AH44" s="836">
        <v>5.4821267647785135</v>
      </c>
      <c r="AI44" s="837">
        <v>110.996</v>
      </c>
      <c r="AJ44" s="836">
        <v>274982.84722222225</v>
      </c>
      <c r="AK44" s="836">
        <v>5.4821267647942324</v>
      </c>
      <c r="AL44" s="836">
        <v>87.714028236707719</v>
      </c>
      <c r="AM44" s="836">
        <v>18162.285971763293</v>
      </c>
      <c r="AN44" s="836">
        <v>42.534722222222221</v>
      </c>
      <c r="AO44" s="836"/>
      <c r="AP44" s="836">
        <v>6550.3472222222217</v>
      </c>
      <c r="AQ44" s="836">
        <v>0</v>
      </c>
      <c r="AR44" s="836">
        <f t="shared" si="3"/>
        <v>270.21402823670769</v>
      </c>
      <c r="AS44" s="879">
        <f t="shared" si="1"/>
        <v>18074.571943526586</v>
      </c>
      <c r="AT44" s="877">
        <v>270.21402823670769</v>
      </c>
      <c r="AU44" s="879">
        <f t="shared" si="2"/>
        <v>0</v>
      </c>
    </row>
    <row r="45" spans="1:47">
      <c r="A45" s="830">
        <v>23</v>
      </c>
      <c r="B45" s="831" t="s">
        <v>1411</v>
      </c>
      <c r="C45" s="832" t="s">
        <v>1413</v>
      </c>
      <c r="D45" s="833">
        <v>43188</v>
      </c>
      <c r="E45" s="833" t="s">
        <v>711</v>
      </c>
      <c r="F45" s="830" t="s">
        <v>718</v>
      </c>
      <c r="G45" s="830" t="s">
        <v>1116</v>
      </c>
      <c r="H45" s="830" t="s">
        <v>1145</v>
      </c>
      <c r="I45" s="830"/>
      <c r="J45" s="830" t="s">
        <v>1146</v>
      </c>
      <c r="K45" s="830"/>
      <c r="L45" s="830">
        <v>0</v>
      </c>
      <c r="M45" s="834">
        <v>6.125</v>
      </c>
      <c r="N45" s="830" t="s">
        <v>1120</v>
      </c>
      <c r="O45" s="833">
        <v>41023</v>
      </c>
      <c r="P45" s="833">
        <v>46501</v>
      </c>
      <c r="Q45" s="833">
        <v>43178</v>
      </c>
      <c r="R45" s="833">
        <v>43032</v>
      </c>
      <c r="S45" s="833"/>
      <c r="T45" s="830">
        <v>10</v>
      </c>
      <c r="U45" s="830">
        <v>3323</v>
      </c>
      <c r="V45" s="830">
        <v>31</v>
      </c>
      <c r="W45" s="830">
        <v>156</v>
      </c>
      <c r="X45" s="830">
        <v>154</v>
      </c>
      <c r="Y45" s="835">
        <v>1</v>
      </c>
      <c r="Z45" s="836">
        <v>250000</v>
      </c>
      <c r="AA45" s="837">
        <v>107.4</v>
      </c>
      <c r="AB45" s="836">
        <v>268500</v>
      </c>
      <c r="AC45" s="836">
        <v>6167.53</v>
      </c>
      <c r="AD45" s="836">
        <v>274667.53000000003</v>
      </c>
      <c r="AE45" s="836">
        <v>18500</v>
      </c>
      <c r="AF45" s="837">
        <v>107.373</v>
      </c>
      <c r="AG45" s="836">
        <v>268432.5</v>
      </c>
      <c r="AH45" s="836">
        <v>5.5672585013671778</v>
      </c>
      <c r="AI45" s="837">
        <v>110.996</v>
      </c>
      <c r="AJ45" s="836">
        <v>274982.84722222225</v>
      </c>
      <c r="AK45" s="836">
        <v>5.567258501354198</v>
      </c>
      <c r="AL45" s="836">
        <v>55.672585013541976</v>
      </c>
      <c r="AM45" s="836">
        <v>18444.327414986459</v>
      </c>
      <c r="AN45" s="836">
        <v>42.534722222222221</v>
      </c>
      <c r="AO45" s="836"/>
      <c r="AP45" s="836">
        <v>6550.3472222222217</v>
      </c>
      <c r="AQ45" s="836">
        <v>0</v>
      </c>
      <c r="AR45" s="836">
        <f t="shared" si="3"/>
        <v>-11.827414986458024</v>
      </c>
      <c r="AS45" s="879">
        <f t="shared" si="1"/>
        <v>18388.654829972918</v>
      </c>
      <c r="AT45" s="877">
        <v>-11.827414986458024</v>
      </c>
      <c r="AU45" s="879">
        <f t="shared" si="2"/>
        <v>0</v>
      </c>
    </row>
    <row r="46" spans="1:47">
      <c r="A46" s="830">
        <v>24</v>
      </c>
      <c r="B46" s="831" t="s">
        <v>1414</v>
      </c>
      <c r="C46" s="832" t="s">
        <v>1415</v>
      </c>
      <c r="D46" s="833">
        <v>43188</v>
      </c>
      <c r="E46" s="833" t="s">
        <v>711</v>
      </c>
      <c r="F46" s="830" t="s">
        <v>1302</v>
      </c>
      <c r="G46" s="830" t="s">
        <v>1116</v>
      </c>
      <c r="H46" s="830" t="s">
        <v>1416</v>
      </c>
      <c r="I46" s="830"/>
      <c r="J46" s="830" t="s">
        <v>1388</v>
      </c>
      <c r="K46" s="830"/>
      <c r="L46" s="830">
        <v>0</v>
      </c>
      <c r="M46" s="834">
        <v>7.5</v>
      </c>
      <c r="N46" s="830" t="s">
        <v>1120</v>
      </c>
      <c r="O46" s="833">
        <v>41120</v>
      </c>
      <c r="P46" s="833">
        <v>44772</v>
      </c>
      <c r="Q46" s="833">
        <v>43154</v>
      </c>
      <c r="R46" s="833">
        <v>43130</v>
      </c>
      <c r="S46" s="833"/>
      <c r="T46" s="830">
        <v>34</v>
      </c>
      <c r="U46" s="830">
        <v>1618</v>
      </c>
      <c r="V46" s="830">
        <v>31</v>
      </c>
      <c r="W46" s="830">
        <v>58</v>
      </c>
      <c r="X46" s="830">
        <v>56</v>
      </c>
      <c r="Y46" s="835">
        <v>1</v>
      </c>
      <c r="Z46" s="836">
        <v>543000</v>
      </c>
      <c r="AA46" s="837">
        <v>107.9315837937385</v>
      </c>
      <c r="AB46" s="836">
        <v>586068.50000000012</v>
      </c>
      <c r="AC46" s="836">
        <v>2601.88</v>
      </c>
      <c r="AD46" s="836">
        <v>588670.38000000012</v>
      </c>
      <c r="AE46" s="836">
        <v>43068.500000000116</v>
      </c>
      <c r="AF46" s="837">
        <v>107.367</v>
      </c>
      <c r="AG46" s="836">
        <v>583002.81000000006</v>
      </c>
      <c r="AH46" s="836">
        <v>26.618355995044112</v>
      </c>
      <c r="AI46" s="837">
        <v>108.596</v>
      </c>
      <c r="AJ46" s="836">
        <v>589337.81000000006</v>
      </c>
      <c r="AK46" s="836">
        <v>26.618355995055698</v>
      </c>
      <c r="AL46" s="836">
        <v>905.02410383189374</v>
      </c>
      <c r="AM46" s="836">
        <v>42163.475896168224</v>
      </c>
      <c r="AN46" s="836">
        <v>113.125</v>
      </c>
      <c r="AO46" s="836"/>
      <c r="AP46" s="836">
        <v>6335</v>
      </c>
      <c r="AQ46" s="836">
        <v>0</v>
      </c>
      <c r="AR46" s="836">
        <f t="shared" si="3"/>
        <v>-2160.6658961681669</v>
      </c>
      <c r="AS46" s="879">
        <f t="shared" si="1"/>
        <v>41258.451792336331</v>
      </c>
      <c r="AT46" s="877">
        <v>-2160.6658961681669</v>
      </c>
      <c r="AU46" s="879">
        <f t="shared" si="2"/>
        <v>0</v>
      </c>
    </row>
    <row r="47" spans="1:47">
      <c r="A47" s="830">
        <v>25</v>
      </c>
      <c r="B47" s="831" t="s">
        <v>1417</v>
      </c>
      <c r="C47" s="832" t="s">
        <v>1149</v>
      </c>
      <c r="D47" s="833">
        <v>43188</v>
      </c>
      <c r="E47" s="833" t="s">
        <v>711</v>
      </c>
      <c r="F47" s="830" t="s">
        <v>717</v>
      </c>
      <c r="G47" s="830" t="s">
        <v>1150</v>
      </c>
      <c r="H47" s="830" t="s">
        <v>1151</v>
      </c>
      <c r="I47" s="830"/>
      <c r="J47" s="830" t="s">
        <v>1152</v>
      </c>
      <c r="K47" s="830"/>
      <c r="L47" s="830" t="s">
        <v>1153</v>
      </c>
      <c r="M47" s="834">
        <v>5.125</v>
      </c>
      <c r="N47" s="830" t="s">
        <v>1120</v>
      </c>
      <c r="O47" s="833">
        <v>41943</v>
      </c>
      <c r="P47" s="833">
        <v>43768</v>
      </c>
      <c r="Q47" s="833">
        <v>43055</v>
      </c>
      <c r="R47" s="833">
        <v>43038</v>
      </c>
      <c r="S47" s="833"/>
      <c r="T47" s="830">
        <v>133</v>
      </c>
      <c r="U47" s="830">
        <v>713</v>
      </c>
      <c r="V47" s="830">
        <v>31</v>
      </c>
      <c r="W47" s="830">
        <v>150</v>
      </c>
      <c r="X47" s="830">
        <v>148</v>
      </c>
      <c r="Y47" s="835">
        <v>1</v>
      </c>
      <c r="Z47" s="945">
        <v>500000</v>
      </c>
      <c r="AA47" s="837">
        <v>104.05</v>
      </c>
      <c r="AB47" s="947">
        <v>518775</v>
      </c>
      <c r="AC47" s="836">
        <v>1138.8900000000001</v>
      </c>
      <c r="AD47" s="836">
        <v>521388.89</v>
      </c>
      <c r="AE47" s="836">
        <v>20250</v>
      </c>
      <c r="AF47" s="837">
        <v>102.5</v>
      </c>
      <c r="AG47" s="836">
        <v>512499.99999999994</v>
      </c>
      <c r="AH47" s="836">
        <v>28.4011220196262</v>
      </c>
      <c r="AI47" s="837">
        <v>104.621</v>
      </c>
      <c r="AJ47" s="836">
        <v>523034.72222222219</v>
      </c>
      <c r="AK47" s="836">
        <v>28.401122019635345</v>
      </c>
      <c r="AL47" s="836">
        <v>3777.3492286115011</v>
      </c>
      <c r="AM47" s="836">
        <v>16472.6507713885</v>
      </c>
      <c r="AN47" s="836">
        <v>71.180555555555557</v>
      </c>
      <c r="AO47" s="836"/>
      <c r="AP47" s="836">
        <v>10534.722222222223</v>
      </c>
      <c r="AQ47" s="836">
        <v>0</v>
      </c>
      <c r="AR47" s="836">
        <f t="shared" si="3"/>
        <v>-2497.6507713885571</v>
      </c>
      <c r="AS47" s="879">
        <f t="shared" si="1"/>
        <v>12695.301542776999</v>
      </c>
      <c r="AT47" s="877">
        <v>-3972.6507713885571</v>
      </c>
      <c r="AU47" s="879">
        <f t="shared" si="2"/>
        <v>1475</v>
      </c>
    </row>
    <row r="48" spans="1:47" ht="15.75" thickBot="1">
      <c r="A48" s="838">
        <v>26</v>
      </c>
      <c r="B48" s="839" t="s">
        <v>1418</v>
      </c>
      <c r="C48" s="840" t="s">
        <v>1156</v>
      </c>
      <c r="D48" s="841">
        <v>43188</v>
      </c>
      <c r="E48" s="841" t="s">
        <v>711</v>
      </c>
      <c r="F48" s="838" t="s">
        <v>715</v>
      </c>
      <c r="G48" s="838" t="s">
        <v>1150</v>
      </c>
      <c r="H48" s="838" t="s">
        <v>1151</v>
      </c>
      <c r="I48" s="838"/>
      <c r="J48" s="838" t="s">
        <v>1152</v>
      </c>
      <c r="K48" s="838"/>
      <c r="L48" s="838" t="s">
        <v>1153</v>
      </c>
      <c r="M48" s="842">
        <v>4.5</v>
      </c>
      <c r="N48" s="838" t="s">
        <v>1120</v>
      </c>
      <c r="O48" s="841">
        <v>42663</v>
      </c>
      <c r="P48" s="841">
        <v>44489</v>
      </c>
      <c r="Q48" s="841">
        <v>42871</v>
      </c>
      <c r="R48" s="841">
        <v>43028</v>
      </c>
      <c r="S48" s="841"/>
      <c r="T48" s="838">
        <v>317</v>
      </c>
      <c r="U48" s="838">
        <v>1618</v>
      </c>
      <c r="V48" s="838">
        <v>31</v>
      </c>
      <c r="W48" s="838">
        <v>160</v>
      </c>
      <c r="X48" s="838">
        <v>158</v>
      </c>
      <c r="Y48" s="843">
        <v>1</v>
      </c>
      <c r="Z48" s="946">
        <v>400000</v>
      </c>
      <c r="AA48" s="845">
        <v>100.85</v>
      </c>
      <c r="AB48" s="948">
        <v>408312</v>
      </c>
      <c r="AC48" s="844">
        <v>1300</v>
      </c>
      <c r="AD48" s="844">
        <v>404700</v>
      </c>
      <c r="AE48" s="844">
        <v>3400</v>
      </c>
      <c r="AF48" s="845">
        <v>100.8</v>
      </c>
      <c r="AG48" s="844">
        <v>403200</v>
      </c>
      <c r="AH48" s="844">
        <v>2.1013597033452243</v>
      </c>
      <c r="AI48" s="845">
        <v>102.788</v>
      </c>
      <c r="AJ48" s="844">
        <v>411100</v>
      </c>
      <c r="AK48" s="844">
        <v>2.1013597033374536</v>
      </c>
      <c r="AL48" s="844">
        <v>666.13102595797284</v>
      </c>
      <c r="AM48" s="844">
        <v>2733.8689740420273</v>
      </c>
      <c r="AN48" s="844">
        <v>50</v>
      </c>
      <c r="AO48" s="844"/>
      <c r="AP48" s="844">
        <v>7900</v>
      </c>
      <c r="AQ48" s="844">
        <v>0</v>
      </c>
      <c r="AR48" s="949">
        <f t="shared" si="3"/>
        <v>-4445.8689740420268</v>
      </c>
      <c r="AS48" s="879">
        <f t="shared" si="1"/>
        <v>2067.7379480840546</v>
      </c>
      <c r="AT48" s="1002">
        <v>466.13102595797284</v>
      </c>
      <c r="AU48" s="879">
        <f t="shared" si="2"/>
        <v>-4912</v>
      </c>
    </row>
    <row r="49" spans="1:47" ht="16.5" thickTop="1" thickBot="1">
      <c r="A49" s="846" t="s">
        <v>1157</v>
      </c>
      <c r="B49" s="846"/>
      <c r="C49" s="847"/>
      <c r="D49" s="848"/>
      <c r="E49" s="848"/>
      <c r="F49" s="846"/>
      <c r="G49" s="846"/>
      <c r="H49" s="846"/>
      <c r="I49" s="846"/>
      <c r="J49" s="846"/>
      <c r="K49" s="846"/>
      <c r="L49" s="846"/>
      <c r="M49" s="849"/>
      <c r="N49" s="846"/>
      <c r="O49" s="848"/>
      <c r="P49" s="848"/>
      <c r="Q49" s="848"/>
      <c r="R49" s="848"/>
      <c r="S49" s="848"/>
      <c r="T49" s="846"/>
      <c r="U49" s="846"/>
      <c r="V49" s="846"/>
      <c r="W49" s="846"/>
      <c r="X49" s="846"/>
      <c r="Y49" s="850"/>
      <c r="Z49" s="851">
        <v>14879000</v>
      </c>
      <c r="AA49" s="852"/>
      <c r="AB49" s="851">
        <v>15300443.786</v>
      </c>
      <c r="AC49" s="851">
        <v>137490.26690702405</v>
      </c>
      <c r="AD49" s="851">
        <v>15437934.052907025</v>
      </c>
      <c r="AE49" s="851">
        <v>421443.78600000014</v>
      </c>
      <c r="AF49" s="852"/>
      <c r="AG49" s="851">
        <v>15198502.130000001</v>
      </c>
      <c r="AH49" s="851">
        <v>324.61142487690086</v>
      </c>
      <c r="AI49" s="852"/>
      <c r="AJ49" s="851">
        <v>15330054.737638889</v>
      </c>
      <c r="AK49" s="851">
        <v>324.61142487610226</v>
      </c>
      <c r="AL49" s="851">
        <v>25557.191473522882</v>
      </c>
      <c r="AM49" s="851">
        <v>395886.59452647727</v>
      </c>
      <c r="AN49" s="851">
        <v>1622.6701388888887</v>
      </c>
      <c r="AO49" s="851">
        <v>0</v>
      </c>
      <c r="AP49" s="851">
        <v>131552.60763888888</v>
      </c>
      <c r="AQ49" s="851"/>
      <c r="AR49" s="879">
        <f>SUM(AR23:AR48)</f>
        <v>-65772.328526477315</v>
      </c>
      <c r="AT49" s="533">
        <f>SUM(AT23:AT48)</f>
        <v>-76384.464526477532</v>
      </c>
      <c r="AU49" s="879"/>
    </row>
    <row r="50" spans="1:47" ht="15.75" thickTop="1"/>
    <row r="51" spans="1:47">
      <c r="AG51" s="879">
        <f>AG49-AM49</f>
        <v>14802615.535473524</v>
      </c>
    </row>
    <row r="54" spans="1:47" ht="15.75" thickBot="1"/>
    <row r="55" spans="1:47" ht="44.25" thickTop="1" thickBot="1">
      <c r="F55" s="864" t="s">
        <v>1163</v>
      </c>
      <c r="G55" s="865" t="s">
        <v>1165</v>
      </c>
      <c r="H55" s="869" t="s">
        <v>1181</v>
      </c>
      <c r="I55" s="872" t="s">
        <v>1419</v>
      </c>
      <c r="J55" s="869" t="s">
        <v>1420</v>
      </c>
      <c r="K55" s="872" t="s">
        <v>1421</v>
      </c>
    </row>
    <row r="56" spans="1:47" ht="15.75" thickTop="1">
      <c r="F56" s="830" t="s">
        <v>841</v>
      </c>
      <c r="G56" s="830" t="s">
        <v>1117</v>
      </c>
      <c r="H56" s="836">
        <v>550000</v>
      </c>
      <c r="I56" s="836">
        <v>585920.5</v>
      </c>
      <c r="J56" s="836">
        <v>550000</v>
      </c>
      <c r="K56" s="836">
        <f>J56*I56/H56</f>
        <v>585920.5</v>
      </c>
    </row>
    <row r="57" spans="1:47">
      <c r="F57" s="830" t="s">
        <v>846</v>
      </c>
      <c r="G57" s="830" t="s">
        <v>1123</v>
      </c>
      <c r="H57" s="836">
        <v>4000000</v>
      </c>
      <c r="I57" s="836">
        <v>3995360</v>
      </c>
      <c r="J57" s="836">
        <v>1200000</v>
      </c>
      <c r="K57" s="836">
        <f t="shared" ref="K57:K63" si="4">J57*I57/H57</f>
        <v>1198608</v>
      </c>
      <c r="L57" s="879"/>
    </row>
    <row r="58" spans="1:47">
      <c r="F58" s="830" t="s">
        <v>713</v>
      </c>
      <c r="G58" s="830" t="s">
        <v>1128</v>
      </c>
      <c r="H58" s="836">
        <v>1082000</v>
      </c>
      <c r="I58" s="836">
        <v>1116364.32</v>
      </c>
      <c r="J58" s="836">
        <v>1000000</v>
      </c>
      <c r="K58" s="836">
        <f t="shared" si="4"/>
        <v>1031760</v>
      </c>
    </row>
    <row r="59" spans="1:47">
      <c r="F59" s="830" t="s">
        <v>713</v>
      </c>
      <c r="G59" s="830" t="s">
        <v>1128</v>
      </c>
      <c r="H59" s="836">
        <v>200000</v>
      </c>
      <c r="I59" s="836">
        <v>206352</v>
      </c>
      <c r="J59" s="836">
        <v>200000</v>
      </c>
      <c r="K59" s="836">
        <f t="shared" si="4"/>
        <v>206352</v>
      </c>
    </row>
    <row r="60" spans="1:47">
      <c r="F60" s="830" t="s">
        <v>706</v>
      </c>
      <c r="G60" s="830" t="s">
        <v>1136</v>
      </c>
      <c r="H60" s="836">
        <v>245000</v>
      </c>
      <c r="I60" s="836">
        <v>250588.45</v>
      </c>
      <c r="J60" s="836">
        <v>105000</v>
      </c>
      <c r="K60" s="836">
        <f t="shared" si="4"/>
        <v>107395.05</v>
      </c>
    </row>
    <row r="61" spans="1:47">
      <c r="F61" s="830" t="s">
        <v>842</v>
      </c>
      <c r="G61" s="830" t="s">
        <v>1145</v>
      </c>
      <c r="H61" s="836">
        <v>200000</v>
      </c>
      <c r="I61" s="836">
        <v>226300</v>
      </c>
      <c r="J61" s="836">
        <v>200000</v>
      </c>
      <c r="K61" s="836">
        <f t="shared" si="4"/>
        <v>226300</v>
      </c>
    </row>
    <row r="62" spans="1:47">
      <c r="F62" s="830" t="s">
        <v>717</v>
      </c>
      <c r="G62" s="830" t="s">
        <v>1151</v>
      </c>
      <c r="H62" s="836">
        <v>500000</v>
      </c>
      <c r="I62" s="836">
        <v>518775</v>
      </c>
      <c r="J62" s="836">
        <v>500000</v>
      </c>
      <c r="K62" s="836">
        <f t="shared" si="4"/>
        <v>518775</v>
      </c>
    </row>
    <row r="63" spans="1:47">
      <c r="F63" s="838" t="s">
        <v>715</v>
      </c>
      <c r="G63" s="838" t="s">
        <v>1151</v>
      </c>
      <c r="H63" s="844">
        <v>500000</v>
      </c>
      <c r="I63" s="844">
        <v>510390</v>
      </c>
      <c r="J63" s="844">
        <v>400000</v>
      </c>
      <c r="K63" s="836">
        <f t="shared" si="4"/>
        <v>408312</v>
      </c>
    </row>
    <row r="68" spans="1:14">
      <c r="A68" s="950" t="s">
        <v>282</v>
      </c>
      <c r="B68" s="951">
        <v>9452039.5300000235</v>
      </c>
    </row>
    <row r="69" spans="1:14">
      <c r="A69" s="950" t="s">
        <v>1422</v>
      </c>
      <c r="B69" s="951">
        <f>'[17]Detalle INV'!N181</f>
        <v>11974000</v>
      </c>
      <c r="C69" t="s">
        <v>1423</v>
      </c>
      <c r="D69" s="533"/>
    </row>
    <row r="70" spans="1:14">
      <c r="A70" s="950" t="s">
        <v>712</v>
      </c>
      <c r="B70" s="951">
        <v>-6310000</v>
      </c>
      <c r="C70" t="s">
        <v>1423</v>
      </c>
      <c r="I70" s="952">
        <v>43160</v>
      </c>
      <c r="J70" s="952">
        <v>43070</v>
      </c>
    </row>
    <row r="71" spans="1:14">
      <c r="A71" s="950" t="s">
        <v>1424</v>
      </c>
      <c r="B71" s="951">
        <v>71809.179999999993</v>
      </c>
      <c r="C71" t="s">
        <v>1423</v>
      </c>
      <c r="F71" s="739" t="s">
        <v>1425</v>
      </c>
      <c r="G71" s="133">
        <v>1030102</v>
      </c>
      <c r="H71" s="134" t="s">
        <v>821</v>
      </c>
      <c r="I71" s="953">
        <v>1045169.41</v>
      </c>
      <c r="J71" s="533">
        <v>1518966.12</v>
      </c>
      <c r="K71" s="533">
        <f>I71-J71</f>
        <v>-473796.71000000008</v>
      </c>
    </row>
    <row r="72" spans="1:14">
      <c r="A72" s="950" t="s">
        <v>820</v>
      </c>
      <c r="B72" s="951">
        <v>219446.12</v>
      </c>
      <c r="C72" t="s">
        <v>1423</v>
      </c>
      <c r="F72" s="739" t="s">
        <v>1426</v>
      </c>
      <c r="G72" s="133">
        <v>1030102</v>
      </c>
      <c r="H72" s="134" t="s">
        <v>821</v>
      </c>
      <c r="I72" s="953">
        <v>13757446.130000001</v>
      </c>
      <c r="J72" s="533">
        <v>7696890.5499999998</v>
      </c>
      <c r="K72" s="533">
        <f>I72-J72</f>
        <v>6060555.580000001</v>
      </c>
      <c r="M72" s="405">
        <f>K71+K72</f>
        <v>5586758.870000001</v>
      </c>
      <c r="N72" s="405">
        <f>B69+B70</f>
        <v>5664000</v>
      </c>
    </row>
    <row r="73" spans="1:14" ht="51.75" thickBot="1">
      <c r="A73" s="954" t="s">
        <v>1427</v>
      </c>
      <c r="B73" s="955">
        <f>AT49-855.63</f>
        <v>-77240.094526477536</v>
      </c>
      <c r="F73" s="739" t="s">
        <v>730</v>
      </c>
      <c r="G73" s="133">
        <v>1081102</v>
      </c>
      <c r="H73" s="134" t="s">
        <v>750</v>
      </c>
      <c r="I73" s="953">
        <v>18409.72</v>
      </c>
      <c r="J73" s="533">
        <v>12557.28</v>
      </c>
      <c r="K73" s="533">
        <f>I73-J73</f>
        <v>5852.4400000000005</v>
      </c>
      <c r="N73" s="405">
        <f>M72-N72</f>
        <v>-77241.129999998957</v>
      </c>
    </row>
    <row r="74" spans="1:14" ht="15.75" thickBot="1">
      <c r="A74" s="954" t="s">
        <v>1428</v>
      </c>
      <c r="B74" s="956">
        <f>SUM(B68:B73)</f>
        <v>15330054.735473545</v>
      </c>
      <c r="F74" s="739" t="s">
        <v>732</v>
      </c>
      <c r="G74" s="133">
        <v>1081102</v>
      </c>
      <c r="H74" s="134" t="s">
        <v>750</v>
      </c>
      <c r="I74" s="953">
        <v>113142.89</v>
      </c>
      <c r="J74" s="533">
        <v>47186.15</v>
      </c>
      <c r="K74" s="533">
        <f t="shared" ref="K74:K76" si="5">I74-J74</f>
        <v>65956.739999999991</v>
      </c>
      <c r="L74" s="405">
        <f>K73+K74</f>
        <v>71809.179999999993</v>
      </c>
    </row>
    <row r="75" spans="1:14" ht="15.75" thickTop="1">
      <c r="A75" s="950"/>
      <c r="B75" s="957"/>
      <c r="F75" s="739" t="s">
        <v>734</v>
      </c>
      <c r="G75" s="133">
        <v>1030102</v>
      </c>
      <c r="H75" s="134" t="s">
        <v>821</v>
      </c>
      <c r="I75" s="953">
        <v>377043.5</v>
      </c>
      <c r="J75" s="533">
        <v>155851.6</v>
      </c>
      <c r="K75" s="533">
        <f t="shared" si="5"/>
        <v>221191.9</v>
      </c>
    </row>
    <row r="76" spans="1:14" ht="25.5">
      <c r="A76" s="954" t="s">
        <v>1429</v>
      </c>
      <c r="B76" s="951">
        <v>15330054.737638889</v>
      </c>
      <c r="F76" s="739" t="s">
        <v>794</v>
      </c>
      <c r="G76" s="133">
        <v>1030102</v>
      </c>
      <c r="H76" s="134" t="s">
        <v>821</v>
      </c>
      <c r="I76" s="953">
        <v>18843.099999999999</v>
      </c>
      <c r="J76" s="533">
        <v>20588.88</v>
      </c>
      <c r="K76" s="533">
        <f t="shared" si="5"/>
        <v>-1745.7800000000025</v>
      </c>
      <c r="L76" s="405">
        <f>K75+K76</f>
        <v>219446.12</v>
      </c>
      <c r="N76" s="405"/>
    </row>
    <row r="77" spans="1:14">
      <c r="A77" s="958"/>
      <c r="B77" s="958"/>
      <c r="I77" s="879">
        <f>SUM(I71:I76)</f>
        <v>15330054.750000002</v>
      </c>
      <c r="J77" s="533">
        <f>SUM(J71:J76)</f>
        <v>9452040.5800000001</v>
      </c>
      <c r="K77" s="533"/>
    </row>
    <row r="78" spans="1:14">
      <c r="A78" s="959" t="s">
        <v>1430</v>
      </c>
      <c r="B78" s="960">
        <f>B74-B76</f>
        <v>-2.1653436124324799E-3</v>
      </c>
    </row>
    <row r="79" spans="1:14">
      <c r="A79" s="958"/>
      <c r="B79" s="958"/>
      <c r="J79" s="405">
        <f>J73+J74</f>
        <v>59743.43</v>
      </c>
    </row>
    <row r="83" spans="2:9">
      <c r="B83" s="533">
        <v>-23566.11</v>
      </c>
      <c r="F83" s="131" t="s">
        <v>726</v>
      </c>
      <c r="G83" s="133">
        <v>501030102</v>
      </c>
      <c r="H83" s="134" t="s">
        <v>811</v>
      </c>
      <c r="I83" s="961">
        <v>-98340.2</v>
      </c>
    </row>
    <row r="84" spans="2:9">
      <c r="F84" s="131" t="s">
        <v>1232</v>
      </c>
      <c r="G84" s="133">
        <v>501030102</v>
      </c>
      <c r="H84" s="134" t="s">
        <v>811</v>
      </c>
      <c r="I84" s="961">
        <v>-9520.16</v>
      </c>
    </row>
    <row r="85" spans="2:9">
      <c r="F85" s="131" t="s">
        <v>794</v>
      </c>
      <c r="G85" s="133">
        <v>501030102</v>
      </c>
      <c r="H85" s="134" t="s">
        <v>811</v>
      </c>
      <c r="I85" s="961">
        <v>2537.4299999999998</v>
      </c>
    </row>
    <row r="86" spans="2:9">
      <c r="F86" s="131" t="s">
        <v>728</v>
      </c>
      <c r="G86" s="133">
        <v>501030102</v>
      </c>
      <c r="H86" s="134" t="s">
        <v>811</v>
      </c>
      <c r="I86" s="961">
        <v>17267.490000000002</v>
      </c>
    </row>
    <row r="87" spans="2:9">
      <c r="F87" s="131" t="s">
        <v>130</v>
      </c>
      <c r="G87" s="133">
        <v>5030108</v>
      </c>
      <c r="H87" s="134" t="s">
        <v>131</v>
      </c>
      <c r="I87" s="961">
        <v>88401.21</v>
      </c>
    </row>
    <row r="88" spans="2:9">
      <c r="F88" s="131" t="s">
        <v>133</v>
      </c>
      <c r="G88" s="133">
        <v>5030102</v>
      </c>
      <c r="H88" s="134" t="s">
        <v>134</v>
      </c>
      <c r="I88" s="961">
        <v>-23566.11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Estado de situación financiera</vt:lpstr>
      <vt:lpstr>Estado ganancias o pérdidas</vt:lpstr>
      <vt:lpstr>Patrimonio</vt:lpstr>
      <vt:lpstr>Flujo de efectivo</vt:lpstr>
      <vt:lpstr>HT flujo efectivo</vt:lpstr>
      <vt:lpstr>RESULTADO (2)</vt:lpstr>
      <vt:lpstr>Consolidado</vt:lpstr>
      <vt:lpstr>Anexo-22</vt:lpstr>
      <vt:lpstr>Anexo 37</vt:lpstr>
      <vt:lpstr>Anexo 27</vt:lpstr>
      <vt:lpstr>Hoja1</vt:lpstr>
      <vt:lpstr>mayor jun2016</vt:lpstr>
      <vt:lpstr>compras y ventas</vt:lpstr>
      <vt:lpstr>MOV.INVER</vt:lpstr>
      <vt:lpstr>Hoja2</vt:lpstr>
      <vt:lpstr>'Anexo 27'!Área_de_impresión</vt:lpstr>
      <vt:lpstr>'Anexo-22'!Área_de_impresión</vt:lpstr>
      <vt:lpstr>Consolidado!Área_de_impresión</vt:lpstr>
      <vt:lpstr>'Estado de situación financiera'!Área_de_impresión</vt:lpstr>
      <vt:lpstr>'Estado ganancias o pérdidas'!Área_de_impresión</vt:lpstr>
      <vt:lpstr>'Flujo de efectivo'!Área_de_impresión</vt:lpstr>
      <vt:lpstr>Patrimonio!Área_de_impresión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Avolese Moline</dc:creator>
  <cp:lastModifiedBy>Carmela Avolese Moline</cp:lastModifiedBy>
  <cp:lastPrinted>2018-05-07T13:31:37Z</cp:lastPrinted>
  <dcterms:created xsi:type="dcterms:W3CDTF">2017-03-18T14:59:49Z</dcterms:created>
  <dcterms:modified xsi:type="dcterms:W3CDTF">2018-06-01T13:30:41Z</dcterms:modified>
</cp:coreProperties>
</file>