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7485" activeTab="0"/>
  </bookViews>
  <sheets>
    <sheet name="Balance" sheetId="1" r:id="rId1"/>
    <sheet name="Lista de Saldos IM" sheetId="2" r:id="rId2"/>
    <sheet name="JULIO" sheetId="3" state="hidden" r:id="rId3"/>
    <sheet name="DETALLE DE LA DEUDA" sheetId="4" r:id="rId4"/>
    <sheet name="DETALLE" sheetId="5" state="hidden" r:id="rId5"/>
    <sheet name="INTEGRACIONES" sheetId="6" state="hidden" r:id="rId6"/>
    <sheet name="VEHICULOS" sheetId="7" r:id="rId7"/>
    <sheet name="GASTOS ENERO 2018" sheetId="8" r:id="rId8"/>
    <sheet name="cuentas por cobrar" sheetId="9" state="hidden" r:id="rId9"/>
    <sheet name="cuentas por pagar" sheetId="10" state="hidden" r:id="rId10"/>
    <sheet name="Hoja1" sheetId="11" state="hidden" r:id="rId11"/>
  </sheets>
  <definedNames/>
  <calcPr fullCalcOnLoad="1"/>
</workbook>
</file>

<file path=xl/comments1.xml><?xml version="1.0" encoding="utf-8"?>
<comments xmlns="http://schemas.openxmlformats.org/spreadsheetml/2006/main">
  <authors>
    <author>maguilar</author>
  </authors>
  <commentList>
    <comment ref="C57" authorId="0">
      <text>
        <r>
          <rPr>
            <sz val="9"/>
            <rFont val="Tahoma"/>
            <family val="2"/>
          </rPr>
          <t xml:space="preserve">Impuesto Sobre la Renta
</t>
        </r>
      </text>
    </comment>
    <comment ref="C91" authorId="0">
      <text>
        <r>
          <rPr>
            <sz val="9"/>
            <rFont val="Tahoma"/>
            <family val="2"/>
          </rPr>
          <t xml:space="preserve">Intereses cobrados a Carsa
</t>
        </r>
      </text>
    </comment>
    <comment ref="D91" authorId="0">
      <text>
        <r>
          <rPr>
            <sz val="9"/>
            <rFont val="Tahoma"/>
            <family val="2"/>
          </rPr>
          <t xml:space="preserve">Intereses cobrados a Carsa
</t>
        </r>
      </text>
    </comment>
  </commentList>
</comments>
</file>

<file path=xl/comments7.xml><?xml version="1.0" encoding="utf-8"?>
<comments xmlns="http://schemas.openxmlformats.org/spreadsheetml/2006/main">
  <authors>
    <author>maguilar</author>
  </authors>
  <commentList>
    <comment ref="G4" authorId="0">
      <text>
        <r>
          <rPr>
            <b/>
            <sz val="9"/>
            <rFont val="Tahoma"/>
            <family val="2"/>
          </rPr>
          <t>Se facturaron 4 cuotas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sz val="9"/>
            <rFont val="Tahoma"/>
            <family val="2"/>
          </rPr>
          <t xml:space="preserve">Se facturaron dos cuotas
</t>
        </r>
      </text>
    </comment>
  </commentList>
</comments>
</file>

<file path=xl/comments8.xml><?xml version="1.0" encoding="utf-8"?>
<comments xmlns="http://schemas.openxmlformats.org/spreadsheetml/2006/main">
  <authors>
    <author>maguilar</author>
  </authors>
  <commentList>
    <comment ref="C21" authorId="0">
      <text>
        <r>
          <rPr>
            <sz val="9"/>
            <rFont val="Tahoma"/>
            <family val="2"/>
          </rPr>
          <t xml:space="preserve">Correr en marzo la de febrero
</t>
        </r>
      </text>
    </comment>
  </commentList>
</comments>
</file>

<file path=xl/sharedStrings.xml><?xml version="1.0" encoding="utf-8"?>
<sst xmlns="http://schemas.openxmlformats.org/spreadsheetml/2006/main" count="823" uniqueCount="436">
  <si>
    <t>soc.</t>
  </si>
  <si>
    <t>CAJA CHICA</t>
  </si>
  <si>
    <t>SALDO BAC CTA. CTE. $ 200897221</t>
  </si>
  <si>
    <t>INGRESO P/TRANSF. BAC CTA. CTE. $ 20089</t>
  </si>
  <si>
    <t>CHEQUES EMITIDOS BAC CTA. CTE. $ 200897</t>
  </si>
  <si>
    <t>EGRESO P/TRANSF. BAC CTA. CTE. $ 200897</t>
  </si>
  <si>
    <t>SALDO LAFISE PANAMA CTA.CTE $ 113000086</t>
  </si>
  <si>
    <t>ING.P/TRANSF.LAFISE PA CTA.CTE $ 113000</t>
  </si>
  <si>
    <t>EGRESO P/TRANSF.LAFISE PA CTA CTE $ 113</t>
  </si>
  <si>
    <t>SALDO BAC CTA. CTE. $ 200925832</t>
  </si>
  <si>
    <t>INGRESO P/TRANSF. BAC CTA. CTE. $ 20092</t>
  </si>
  <si>
    <t>CHEQUES EMITIDOS BAC CTA. CTE. $ 200925</t>
  </si>
  <si>
    <t>EGRESO P/TRANSF. BAC CTA. CTE. $ 200925</t>
  </si>
  <si>
    <t>CUENTAS POR COBRAR COMERCIO</t>
  </si>
  <si>
    <t>DEUDORES DIVERSOS</t>
  </si>
  <si>
    <t>ISR PAGO A CUENTA</t>
  </si>
  <si>
    <t>CREDITO FISCAL IVA</t>
  </si>
  <si>
    <t>CREDITO FISCAL IVA RETENCION TERCEROS</t>
  </si>
  <si>
    <t>GASTOS ANTICIPADOS Y AMORTIZABLES</t>
  </si>
  <si>
    <t>VALOR ORIGINAL  DE TERRENOS</t>
  </si>
  <si>
    <t>REVALUACION DE TERRENOS</t>
  </si>
  <si>
    <t>VALOR ORIGINAL DE EDIFICIOS</t>
  </si>
  <si>
    <t>REVALUACION DE EDIFICIOS</t>
  </si>
  <si>
    <t>DEPRECIACION VALOR ORIGINAL EDIFICIOS</t>
  </si>
  <si>
    <t>DEPRECIACION REVALUACION EDIFICIOS</t>
  </si>
  <si>
    <t>VALOR ORIGINAL MAQUINARIA Y EQUIPO INDU</t>
  </si>
  <si>
    <t>DEPRECIACION VALOR ORIGINAL MAQUINARIA</t>
  </si>
  <si>
    <t>VALOR ORIGINAL  VEHICULOS</t>
  </si>
  <si>
    <t>DEPRECIACION ACUMULADA DE VALOR ORIGINA</t>
  </si>
  <si>
    <t>OTROS ACTIVOS</t>
  </si>
  <si>
    <t>PORCION CORRIENTE DE PRESTAMOS A LARGO</t>
  </si>
  <si>
    <t>CUENTAS POR PAGAR PROVEEDORES</t>
  </si>
  <si>
    <t>RETENCIONES DEL IMPUESTO SOBRE LA RENTA</t>
  </si>
  <si>
    <t>INTERESES POR PAGAR</t>
  </si>
  <si>
    <t>DEBITO FISCAL IVA</t>
  </si>
  <si>
    <t>IMPUESTO SOBRE LA RENTA</t>
  </si>
  <si>
    <t>CREDITOS DIFERIDOS</t>
  </si>
  <si>
    <t>PRESTAMOS A LARGO PLAZO</t>
  </si>
  <si>
    <t>CAPITAL SOCIAL</t>
  </si>
  <si>
    <t>SUPERAVIT POR REVALUACION DE TERRRENOS</t>
  </si>
  <si>
    <t>SUPERAVIT POR REVALUACION DE EDIFICIOS</t>
  </si>
  <si>
    <t>RESULTADO  DEL  EJERCICIO  ACTUAL</t>
  </si>
  <si>
    <t>SUPERAVIT REVALUACION REALIZADO EDIF.E</t>
  </si>
  <si>
    <t>CUENTAS POR COBRAR LARGO PLAZO</t>
  </si>
  <si>
    <t>Caja y Bancos</t>
  </si>
  <si>
    <t>Otros</t>
  </si>
  <si>
    <t>Gtos. Pagados por Anticipado</t>
  </si>
  <si>
    <t>Terrenos</t>
  </si>
  <si>
    <t>Edificios e Instalaciones</t>
  </si>
  <si>
    <t>Maquinaria y Equipo</t>
  </si>
  <si>
    <t>Vehiculos</t>
  </si>
  <si>
    <t>Construcciones en Progreso</t>
  </si>
  <si>
    <t>Depreciación (-)</t>
  </si>
  <si>
    <t>Activo Intangible</t>
  </si>
  <si>
    <t>Porcion Cte., Prestamos L.P.</t>
  </si>
  <si>
    <t>Cuentas por Pagar Comerciales</t>
  </si>
  <si>
    <t>Cuentas 9 por Pagar Corriente</t>
  </si>
  <si>
    <t>Otros, Provisiones y Retenc.</t>
  </si>
  <si>
    <t>Impuestos por Pagar</t>
  </si>
  <si>
    <t>Ingresos Diferidos</t>
  </si>
  <si>
    <t>Prestamos Bancarios a L.P.</t>
  </si>
  <si>
    <t>Capital Social</t>
  </si>
  <si>
    <t>Revaluaciones</t>
  </si>
  <si>
    <t>Utilidades Retenidas</t>
  </si>
  <si>
    <t>Doc. Ctas. por Cobrar Clientes</t>
  </si>
  <si>
    <t>Línea</t>
  </si>
  <si>
    <t xml:space="preserve"> No.</t>
  </si>
  <si>
    <t>Descripción</t>
  </si>
  <si>
    <t xml:space="preserve">       ACTIVO CIRCULANTE</t>
  </si>
  <si>
    <t xml:space="preserve"> </t>
  </si>
  <si>
    <t>001</t>
  </si>
  <si>
    <t>002</t>
  </si>
  <si>
    <t>Acciones y Valores</t>
  </si>
  <si>
    <t>003</t>
  </si>
  <si>
    <t>004</t>
  </si>
  <si>
    <t>Cuentas 9 por Cobrar</t>
  </si>
  <si>
    <t>005</t>
  </si>
  <si>
    <t>006</t>
  </si>
  <si>
    <t>Sub-Total</t>
  </si>
  <si>
    <t>007</t>
  </si>
  <si>
    <t>Reserva para Cuentas Dudosas</t>
  </si>
  <si>
    <t>008</t>
  </si>
  <si>
    <t>Total Cuentas por Cobrar</t>
  </si>
  <si>
    <t>009</t>
  </si>
  <si>
    <t>010</t>
  </si>
  <si>
    <t>Total del Activo Circulante</t>
  </si>
  <si>
    <t xml:space="preserve">        ACTIVO FIJO</t>
  </si>
  <si>
    <t>012</t>
  </si>
  <si>
    <t>013</t>
  </si>
  <si>
    <t>014</t>
  </si>
  <si>
    <t>015</t>
  </si>
  <si>
    <t>Total Prop., Planta y Equipo</t>
  </si>
  <si>
    <t>016</t>
  </si>
  <si>
    <t>017</t>
  </si>
  <si>
    <t>018</t>
  </si>
  <si>
    <t>Inversiones</t>
  </si>
  <si>
    <t>019</t>
  </si>
  <si>
    <t>Total de Inversiones</t>
  </si>
  <si>
    <t>020</t>
  </si>
  <si>
    <t>021</t>
  </si>
  <si>
    <t>Total Activo</t>
  </si>
  <si>
    <t xml:space="preserve">        PASIVO CIRCULANTE</t>
  </si>
  <si>
    <t>022</t>
  </si>
  <si>
    <t>Prestamos Bancarios</t>
  </si>
  <si>
    <t>023</t>
  </si>
  <si>
    <t>024</t>
  </si>
  <si>
    <t>Otras Obligaciones Corto Plazo</t>
  </si>
  <si>
    <t>025</t>
  </si>
  <si>
    <t>Total Prestamos Corto Plazo</t>
  </si>
  <si>
    <t>026</t>
  </si>
  <si>
    <t>027</t>
  </si>
  <si>
    <t>028</t>
  </si>
  <si>
    <t>029</t>
  </si>
  <si>
    <t>031</t>
  </si>
  <si>
    <t>Total Pasivo Circulante</t>
  </si>
  <si>
    <t>032A</t>
  </si>
  <si>
    <t>Obligacion Laboral</t>
  </si>
  <si>
    <t>032B</t>
  </si>
  <si>
    <t>033</t>
  </si>
  <si>
    <t>Pmos. Fiduciarios y Rotativos</t>
  </si>
  <si>
    <t>034</t>
  </si>
  <si>
    <t>Préstamos y Otras Cuentas 9</t>
  </si>
  <si>
    <t>035</t>
  </si>
  <si>
    <t>Interés Minoritario</t>
  </si>
  <si>
    <t>036</t>
  </si>
  <si>
    <t>Total Pasivos</t>
  </si>
  <si>
    <t>036A</t>
  </si>
  <si>
    <t xml:space="preserve">         PATRIMONIO</t>
  </si>
  <si>
    <t>037</t>
  </si>
  <si>
    <t>038</t>
  </si>
  <si>
    <t>Capital Pagado en Exceso</t>
  </si>
  <si>
    <t>039</t>
  </si>
  <si>
    <t>040</t>
  </si>
  <si>
    <t>Reserva legal</t>
  </si>
  <si>
    <t>041</t>
  </si>
  <si>
    <t>042</t>
  </si>
  <si>
    <t>Utilidades del Ejercicio</t>
  </si>
  <si>
    <t>043</t>
  </si>
  <si>
    <t>Total Patrimonio</t>
  </si>
  <si>
    <t>044</t>
  </si>
  <si>
    <t>Total Pasivo más Patrimonio</t>
  </si>
  <si>
    <t>INMOBILIARIA</t>
  </si>
  <si>
    <t>SV</t>
  </si>
  <si>
    <t xml:space="preserve">Cuentas por Cobrar Largo Plazo </t>
  </si>
  <si>
    <t>Vehículos</t>
  </si>
  <si>
    <t>Total Prop.Planta y Equipo (Neto)</t>
  </si>
  <si>
    <t>Cuentas por Pagar a L.P.</t>
  </si>
  <si>
    <t>RESULTADOS</t>
  </si>
  <si>
    <t>101</t>
  </si>
  <si>
    <t>Intereses Recibidos</t>
  </si>
  <si>
    <t>102</t>
  </si>
  <si>
    <t>Ingresos por Arrendamientos Operativos</t>
  </si>
  <si>
    <t>103</t>
  </si>
  <si>
    <t>Comisiones Recibidas</t>
  </si>
  <si>
    <t>104</t>
  </si>
  <si>
    <t>Otros Ingresos</t>
  </si>
  <si>
    <t>105</t>
  </si>
  <si>
    <t>Devoluciones/Rebajas</t>
  </si>
  <si>
    <t>106</t>
  </si>
  <si>
    <t>Total Ingresos</t>
  </si>
  <si>
    <t>Intereses Pagados</t>
  </si>
  <si>
    <t>Comisiones Pagadas</t>
  </si>
  <si>
    <t>Depreciaciones</t>
  </si>
  <si>
    <t>Otros Costos</t>
  </si>
  <si>
    <t>Costo Financiero</t>
  </si>
  <si>
    <t>Utilidad Marginal</t>
  </si>
  <si>
    <t>Gastos de Operación</t>
  </si>
  <si>
    <t>Otros Gastos e Ingresos Financieros</t>
  </si>
  <si>
    <t>Diferencia en Cambio</t>
  </si>
  <si>
    <t>Total de Gastos Fijos</t>
  </si>
  <si>
    <t>Resultado Operativo</t>
  </si>
  <si>
    <t>Otros Ingresos-Egresos</t>
  </si>
  <si>
    <t>Diferencia Conversión</t>
  </si>
  <si>
    <t>Resultado A/ISR</t>
  </si>
  <si>
    <t>ISR</t>
  </si>
  <si>
    <t>Resultado Neto</t>
  </si>
  <si>
    <t>Rubro</t>
  </si>
  <si>
    <t>RICORP TITULARIZADORA, S.A.</t>
  </si>
  <si>
    <t>INTERESES RECIBIDOS</t>
  </si>
  <si>
    <t>INGRESOS POR LEASING</t>
  </si>
  <si>
    <t>INTERESES PAGADOS</t>
  </si>
  <si>
    <t>DEPRECIACION DE EDIFICIOS</t>
  </si>
  <si>
    <t>DEPRECIACION DE  MAQUINARIA  Y EQUIPO</t>
  </si>
  <si>
    <t>DEPRECIACION DE  VEHICULOS</t>
  </si>
  <si>
    <t>DEPRECIACION REVALUACION DE EDIFICIOS</t>
  </si>
  <si>
    <t>OTROS COSTOS</t>
  </si>
  <si>
    <t>GASTOS FORMALIZACION DE CREDITOS</t>
  </si>
  <si>
    <t>GASTOS Y COMISIONES</t>
  </si>
  <si>
    <t>HONORARIOS POR SERVICIOS</t>
  </si>
  <si>
    <t>GTOS.Y COMISIONES</t>
  </si>
  <si>
    <t>VARIOS</t>
  </si>
  <si>
    <t>BANCO DE AMERICA CENTRAL, S.A.</t>
  </si>
  <si>
    <t>CORTO</t>
  </si>
  <si>
    <t>LARGO</t>
  </si>
  <si>
    <t>TRAMO A</t>
  </si>
  <si>
    <t>TRAMO B</t>
  </si>
  <si>
    <t>THE NETWORK COMPANY</t>
  </si>
  <si>
    <t>Reserva Legal</t>
  </si>
  <si>
    <t>RESERVA LEGAL EJERCICIO ACTUAL</t>
  </si>
  <si>
    <t>Resetva Legal</t>
  </si>
  <si>
    <t xml:space="preserve">Resultado Neto </t>
  </si>
  <si>
    <t>ACTIVO</t>
  </si>
  <si>
    <t>EXPLICACION</t>
  </si>
  <si>
    <t>RESULTADO</t>
  </si>
  <si>
    <t>BALANCE GENERAL Y ESTADO DE RESULTADOS</t>
  </si>
  <si>
    <t>INGRESO P/DEPOS. BAC CTA. CTE. $ 200925</t>
  </si>
  <si>
    <t>Resultado 
Acumulado</t>
  </si>
  <si>
    <t>Resultado 
Mensual</t>
  </si>
  <si>
    <t>Acumulado</t>
  </si>
  <si>
    <t>Resultado MES</t>
  </si>
  <si>
    <t>Mes Anterior</t>
  </si>
  <si>
    <t>INGRESO P/DEPOS. BAC CTA. CTE. $ 200897</t>
  </si>
  <si>
    <t>INGRESOS POR LEASING Y DEPRECIACION</t>
  </si>
  <si>
    <t>DESCRIPCION DEL ACTIVO</t>
  </si>
  <si>
    <t>PROPIO</t>
  </si>
  <si>
    <t>USUARIO</t>
  </si>
  <si>
    <t>EMPRESA</t>
  </si>
  <si>
    <t>LINEA</t>
  </si>
  <si>
    <t>INGRESO</t>
  </si>
  <si>
    <t>DEPRECIACION</t>
  </si>
  <si>
    <t>30.06.2014 1 Vehiculo Marca Toyota, Modelo ASA44L-ANTXK,</t>
  </si>
  <si>
    <t>HENRY YARHI</t>
  </si>
  <si>
    <t>BARRY</t>
  </si>
  <si>
    <t>SPECIALTY PRODUCTS</t>
  </si>
  <si>
    <t>GUSTAVO GUTIERREZ</t>
  </si>
  <si>
    <t>CARTONERA CENTROAMERICANA</t>
  </si>
  <si>
    <t>30.09.2014 Jeep Grand Cherokee Limited 5.7L 4X4 T/A Año 2014</t>
  </si>
  <si>
    <t>SIGMA, S.A. DE C.V.</t>
  </si>
  <si>
    <t>30.09.2014 Jeep Wrangler ULTD Sport 3.6L 4X4 T/A Año 2014</t>
  </si>
  <si>
    <t>Philippe Gaston</t>
  </si>
  <si>
    <t>30.09.2014 Jeep Compass North 2.4L 4X4 T/A Año 2014</t>
  </si>
  <si>
    <t>TOTAL INGRESOS POR VEHICULOS</t>
  </si>
  <si>
    <t>ARRENDAMIENTO INMUEBLE CARSA</t>
  </si>
  <si>
    <t>TOTAL INGRESOS POR LEASING</t>
  </si>
  <si>
    <t>P-655016 NISSAN PATHFINDER FRIS</t>
  </si>
  <si>
    <t>SALVADOR MIRANDA</t>
  </si>
  <si>
    <t>Vehiculo P-651939 4 Runner ColorGris Os</t>
  </si>
  <si>
    <t>IMPUESTO SOBRE LA RENTA DIFERIDO</t>
  </si>
  <si>
    <t>INSTRUMENTOS FINANCIEROS DE PATRIMONIO</t>
  </si>
  <si>
    <t>ISR DIFERIDO REVALUACION</t>
  </si>
  <si>
    <t>UTILIDADES RETENIDAS</t>
  </si>
  <si>
    <t>Impuesto sobre la Renta Diferido</t>
  </si>
  <si>
    <t>PARA RECLASIFICAR DE DEUDA A LARGO PLAZO A INSTRUMENTOS FINANCIEROS</t>
  </si>
  <si>
    <t>EN BALANCE LO ESTOY PRESENTANDO SIEMPRE COMO DEUDA A LARGO PLAZO</t>
  </si>
  <si>
    <t>PARA REGISTRAR IMPUESTO SOBRE LA RENTA DIFERIDO</t>
  </si>
  <si>
    <t>ELIMINACION DE GASTO ANTICIPADO CONTRA UTILIDADES RETENIDAS, DIVIDENDOS FUERON DECRETADOS CON FECHA MAYO 2015</t>
  </si>
  <si>
    <t>REGISTRO DE RENTA POR DIVIDENDOS DECRETADOS.</t>
  </si>
  <si>
    <t>Textos............................................</t>
  </si>
  <si>
    <t>Textos</t>
  </si>
  <si>
    <t>..Interv.informe.</t>
  </si>
  <si>
    <t>..Comp. periodos</t>
  </si>
  <si>
    <t>.......absolutos</t>
  </si>
  <si>
    <t>DETALLE DE GASTOS PAGADOS POR ANTICIPADO</t>
  </si>
  <si>
    <t>GASTOS DE TITULARIZACION</t>
  </si>
  <si>
    <t>Saldo Inicial</t>
  </si>
  <si>
    <t>Amortizacion 
Mensual</t>
  </si>
  <si>
    <t>Inscripción de la venta del Inmueble de Carsa a Inmobiliaria</t>
  </si>
  <si>
    <t>ANT. INSCRIPCION DE PRENDA SIN DESPLAZAMIENTO</t>
  </si>
  <si>
    <t>INSCRIPCION DE CONTRATO DE ARRENDAMIENTO</t>
  </si>
  <si>
    <t>COMISION DESEMBOLSO</t>
  </si>
  <si>
    <t>CALIFICADOR1 Equilibrium</t>
  </si>
  <si>
    <t>CALIFICADOR2 PCR</t>
  </si>
  <si>
    <t>Comision Intermediacion</t>
  </si>
  <si>
    <t>Costo de Abogado</t>
  </si>
  <si>
    <t>Comision por deposito Inicial de Valores</t>
  </si>
  <si>
    <t>Inscripción Emision Bolsa de Valores</t>
  </si>
  <si>
    <t>Inscripción EMISION SGB</t>
  </si>
  <si>
    <t>Comision por colocación en Mercado Primario</t>
  </si>
  <si>
    <t>PERITO VALUADOR DE FLUJOS MORALES Y MORALES</t>
  </si>
  <si>
    <t>Publicacion Oferta Publica (Aviso Colocación)</t>
  </si>
  <si>
    <t>REPRESENTANTE TENEDOR DE FONDOS</t>
  </si>
  <si>
    <t>Comision Estructuración RICORP</t>
  </si>
  <si>
    <t>ANT. REGIONAL INVESMENT ASESORIA FINANCIERA</t>
  </si>
  <si>
    <t>Prospectos y Certificados (Comercializacion)</t>
  </si>
  <si>
    <t>Inscripción Emision en registro publico Bursatil</t>
  </si>
  <si>
    <t>TOTAL GASTOS TITULARIZACION</t>
  </si>
  <si>
    <t>Cuota anticipada arrendamiento a Carsa</t>
  </si>
  <si>
    <t>INSCRIPCION REGISTRO DE COMERCIO</t>
  </si>
  <si>
    <t>Complemento Honorarios de Auditoria</t>
  </si>
  <si>
    <t>Honorarios de Auditoria</t>
  </si>
  <si>
    <t>ANTICIPO COMPRA DE VEHICULO</t>
  </si>
  <si>
    <t>ANTICIPO VALERIE</t>
  </si>
  <si>
    <t>HONORARIOS</t>
  </si>
  <si>
    <t>ANT. COMPRA DE VEHICULO</t>
  </si>
  <si>
    <t>OTROS PRESTAMOS</t>
  </si>
  <si>
    <t>CUENTAS POR PAGAR COMERCIALES A LARGO P</t>
  </si>
  <si>
    <t>CSI</t>
  </si>
  <si>
    <t>ISR DIFERIDO</t>
  </si>
  <si>
    <t>Otras Obligaciones a largo plazo</t>
  </si>
  <si>
    <t>ACREEDORES OTROS, PROVISIONES Y RETENCI</t>
  </si>
  <si>
    <t>Generald de Vehiculos</t>
  </si>
  <si>
    <t>CUENTAS POR PAGAR EMPRESAS RELACIONADAS</t>
  </si>
  <si>
    <t>FINANCIAMIENTO MONTACARGAS</t>
  </si>
  <si>
    <t>MANTEMIENTO MONTACARGAS</t>
  </si>
  <si>
    <t>ASTRUM CONSULTORES, S.A. DE C.V.</t>
  </si>
  <si>
    <t>ARRENDAMIENTO MONTACARGAS CARSA</t>
  </si>
  <si>
    <t>ARRENDAMIENTO MONTACARGAS ROTOFLEX</t>
  </si>
  <si>
    <t>SER. DE CLASIF. DE RIESGOS MARZO 2016</t>
  </si>
  <si>
    <t>SERVICIOS DE ASESORIA FINANCIERA TNC</t>
  </si>
  <si>
    <t>Impuesto sobre la Renta</t>
  </si>
  <si>
    <t>Casa de OroQ, S.A.</t>
  </si>
  <si>
    <t>PAPELERIA Y UTILES</t>
  </si>
  <si>
    <t>CSI SEGUDA CESION</t>
  </si>
  <si>
    <t>OPCION DE COMPRA</t>
  </si>
  <si>
    <t>SERVICIOS DE ASESORIA FINANCIERA</t>
  </si>
  <si>
    <t>ARRENDAMIENTO ROTO/KONTEIN</t>
  </si>
  <si>
    <t>Sigma, S.A. de C. V</t>
  </si>
  <si>
    <t>CUENTA POR COBRAR</t>
  </si>
  <si>
    <t>Cuenta Restringida</t>
  </si>
  <si>
    <t>Fondo de Titularización Ricorp</t>
  </si>
  <si>
    <t>Remanentes del Fondo</t>
  </si>
  <si>
    <t>TOTAL OTRAS CUENTAS POR COBRAR</t>
  </si>
  <si>
    <t>RUBRO</t>
  </si>
  <si>
    <t>IMPORTE</t>
  </si>
  <si>
    <t>CUENTA POR PAGAR</t>
  </si>
  <si>
    <t>FIGUEROA JIMENEZ</t>
  </si>
  <si>
    <t xml:space="preserve">CASA DE OROQ, S.A. </t>
  </si>
  <si>
    <t>CUENTA POR PAGAR RELACIONADA</t>
  </si>
  <si>
    <t>ANTICIPO BOLSA DE VALORES ESA</t>
  </si>
  <si>
    <t>ANT. SUPERINTENDENCIA DEL SISTEMA FINANCIERO</t>
  </si>
  <si>
    <t>OK</t>
  </si>
  <si>
    <t>TRANSITO</t>
  </si>
  <si>
    <t>50% HONORARIOS POR EMISION DE CERTIFICACIONN</t>
  </si>
  <si>
    <t>CSI LEASING</t>
  </si>
  <si>
    <t>DEPOSITOS EN TRANSITO</t>
  </si>
  <si>
    <t>HARDWARE VALOR ORIGINAL</t>
  </si>
  <si>
    <t>DEPRECIACION DE  HARDWARE</t>
  </si>
  <si>
    <t>DEPRECIACION VALOR ORIGINAL HARDWARE</t>
  </si>
  <si>
    <t>Hardware</t>
  </si>
  <si>
    <t>ARRENDAMIENTO REPROCENTRO</t>
  </si>
  <si>
    <t>remanente deuda carsa</t>
  </si>
  <si>
    <t>OTRAS PROVISIONES</t>
  </si>
  <si>
    <t>Otros ingresos</t>
  </si>
  <si>
    <t>CENTRAL DE DEPOSITOS Y VALORES</t>
  </si>
  <si>
    <t>SUSCRIPCIONES Y PUBLICACIONES</t>
  </si>
  <si>
    <t>CAPACITACION TECNICA</t>
  </si>
  <si>
    <t>Emision de derechos</t>
  </si>
  <si>
    <t>Vehiculo AUDI CARSA para Ing. Rivera</t>
  </si>
  <si>
    <t>ING. RIVERA</t>
  </si>
  <si>
    <t>CARSA</t>
  </si>
  <si>
    <t>Cartonera Centroamericana</t>
  </si>
  <si>
    <t>Cesion deuda CSI</t>
  </si>
  <si>
    <t>Saldo factura #35 Arrendamiento</t>
  </si>
  <si>
    <t>Cuenta Restringida a favor del FTRTIME01</t>
  </si>
  <si>
    <t>Saldo sobrecobertura real</t>
  </si>
  <si>
    <t>FIGUEROA JIMENEZ &amp; CO., S.A.</t>
  </si>
  <si>
    <t>Saldo por pagar honorarios Auditoria 2016</t>
  </si>
  <si>
    <t>2526001255 FC POR MAQUINARIA REPROCENTRO</t>
  </si>
  <si>
    <t>IMPUESTOS POR PAGAR</t>
  </si>
  <si>
    <t>Se debe hacer Cruce con pago a cuenta</t>
  </si>
  <si>
    <t>Se debe hacer cruce con ISR por pagar</t>
  </si>
  <si>
    <t>bac Y RICORP</t>
  </si>
  <si>
    <t xml:space="preserve"> RESERVA LEGAL EJERCICIO ACTUAL</t>
  </si>
  <si>
    <t xml:space="preserve"> ISR DIFERIDO GASTO</t>
  </si>
  <si>
    <t>PROVISION AGUINALDOS</t>
  </si>
  <si>
    <t>OBLIGACION LABORAL</t>
  </si>
  <si>
    <t>PROVISION  FESTEJOS NAVIDEÑOS</t>
  </si>
  <si>
    <t>ATENCIONES AL PERSONAL</t>
  </si>
  <si>
    <t>TOTAL GASTOS DE OPERACIÓN</t>
  </si>
  <si>
    <t>Total Otros</t>
  </si>
  <si>
    <t xml:space="preserve">Total CREDITO FISCAL IVA </t>
  </si>
  <si>
    <t xml:space="preserve"> RICORP TITULARIZADORA, S.A.</t>
  </si>
  <si>
    <t xml:space="preserve"> Fondo de Titularización Ricorp</t>
  </si>
  <si>
    <t xml:space="preserve"> SALVADOR ANTONIO MIRANDA ZETINO</t>
  </si>
  <si>
    <t>Cuenta</t>
  </si>
  <si>
    <t>Monto USD</t>
  </si>
  <si>
    <t>Descripción de Cuenta</t>
  </si>
  <si>
    <t>Cartonera Centroamericana, S.A. de</t>
  </si>
  <si>
    <t>CSI LEASING DE CENTROAMERICA</t>
  </si>
  <si>
    <t>INSTITUTO SALVADOREÑO DEL SEGURO SO</t>
  </si>
  <si>
    <t>FONDO DE PENSIONES,AFP CONFIA, S.A</t>
  </si>
  <si>
    <t>ASEGURADORA VIVIR, S.A.</t>
  </si>
  <si>
    <t>Activo por impuesto diferido</t>
  </si>
  <si>
    <t>VENDIDO</t>
  </si>
  <si>
    <t>ANTICIPO A BANCO DAVIVIENDA POR APERTURA DE CUENTA</t>
  </si>
  <si>
    <t xml:space="preserve"> CSI Y ATRUM, OTRAS OBLIGACIONES A CORTO PLAZO</t>
  </si>
  <si>
    <t>ACTIVO POR IMPUESTO DIFERIDO</t>
  </si>
  <si>
    <t>INGRESO P/TRANSF. DAVI CTA. CTE. $ 002</t>
  </si>
  <si>
    <t>EGRESO P/TRANSF. DAVIVI CTA. CTE. $ 002</t>
  </si>
  <si>
    <t>INGRESO P/TRANSF. DAV CTA. CTE. $ 002 5</t>
  </si>
  <si>
    <t>EGRESO P/TRANSF. DAVIV CTA. CTE. $ 002</t>
  </si>
  <si>
    <t>VICEPRESIDENCIA</t>
  </si>
  <si>
    <t>anticipo a caja chica</t>
  </si>
  <si>
    <t>Cuentas por cobrar a largo plazo</t>
  </si>
  <si>
    <t>PROVISION OBLIGACION LABORAL</t>
  </si>
  <si>
    <t>PROVISION AGUINALDO</t>
  </si>
  <si>
    <t>IMPUESTO SOBRE LA RENTA 2017</t>
  </si>
  <si>
    <t>FC # 122</t>
  </si>
  <si>
    <t>Saldo por anticipo Sigma</t>
  </si>
  <si>
    <t>IVA POR COBRAR, DEBITOS VR CREDITOS</t>
  </si>
  <si>
    <t>RETENCIONES AFP</t>
  </si>
  <si>
    <t>vacacion</t>
  </si>
  <si>
    <t>CHEQUES EMITIDOS DAV CTA. CTE. $ 002 51</t>
  </si>
  <si>
    <t>Sigma, Central </t>
  </si>
  <si>
    <t>Kontein </t>
  </si>
  <si>
    <t>Rotoflex</t>
  </si>
  <si>
    <t>Specialty</t>
  </si>
  <si>
    <t>Carsa</t>
  </si>
  <si>
    <t>Sun Chemical  </t>
  </si>
  <si>
    <t xml:space="preserve">Sigma, Central Arrendamiento Firewall </t>
  </si>
  <si>
    <t>Kontein  Arrendamiento Firewall</t>
  </si>
  <si>
    <t>Rotoflex Arrendamiento Firewall</t>
  </si>
  <si>
    <t>Specialty Arrendamiento Firewall</t>
  </si>
  <si>
    <t>Carsa Arrendamiento Firewall</t>
  </si>
  <si>
    <t>Sun Chemical Arrendamiento Firewall</t>
  </si>
  <si>
    <t>Arrendamiento Maquinaria Rotoflex</t>
  </si>
  <si>
    <t>Arrendamiento Maquinaria Kontein</t>
  </si>
  <si>
    <t>SALDO PAGADO DE MAS A TNC</t>
  </si>
  <si>
    <t>CP Leasing Clamps</t>
  </si>
  <si>
    <t>LP Leasing Clamps</t>
  </si>
  <si>
    <t>SPECIALTY</t>
  </si>
  <si>
    <t>Arrendamiento Montacarga Kontein</t>
  </si>
  <si>
    <t>Primer cuota se carga a Rotoflex</t>
  </si>
  <si>
    <t>Arrendamiento Montacarga Specialty</t>
  </si>
  <si>
    <t>Arrendamiento Clamps CARSA</t>
  </si>
  <si>
    <t xml:space="preserve">KONTEIN,DE MOMENTO CUOTA ES CARGADA A ROTOFLEX </t>
  </si>
  <si>
    <t>Termina contrato con Specialty</t>
  </si>
  <si>
    <t>Inicia Contrato con Sigma</t>
  </si>
  <si>
    <t>Termina contrato con Sigma</t>
  </si>
  <si>
    <t>Inicia Contrato con Specialty</t>
  </si>
  <si>
    <t>Arrendmiento Maquinaria KONTEIN nuevo Sept.</t>
  </si>
  <si>
    <t>Cesion</t>
  </si>
  <si>
    <t>Anticipo Intereses CEDEVAL</t>
  </si>
  <si>
    <t>Amortizacion 
a Nov 2017</t>
  </si>
  <si>
    <t>Saldo Nov 2017</t>
  </si>
  <si>
    <t>SALDO DAVIVIENDA CTA. CTE. $ 002 51 011</t>
  </si>
  <si>
    <t>LF VALOR ORIGINAL MAQUINARIA Y EQUIPO I</t>
  </si>
  <si>
    <t>LF DEPRECIACION VALOR ORIGINAL MAQ Y EQ</t>
  </si>
  <si>
    <t>COSTO POR DEPRECIACIONES</t>
  </si>
  <si>
    <t>DETALLE DE GASTOS ANTICIPADOS</t>
  </si>
  <si>
    <t>SIGMA</t>
  </si>
  <si>
    <t>CARTONERA</t>
  </si>
  <si>
    <t>SUN CHEM</t>
  </si>
  <si>
    <t>SUN CHEMICAL</t>
  </si>
  <si>
    <t>Arrendamiento Maquina Carsa inicio 2018</t>
  </si>
  <si>
    <t>ABRIL 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</si>
</sst>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#,##0.0"/>
    <numFmt numFmtId="166" formatCode="#,##0.000000000"/>
    <numFmt numFmtId="167" formatCode="#,##0.0000000000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440A]dddd\,\ dd&quot; de &quot;mmmm&quot; de &quot;yyyy"/>
    <numFmt numFmtId="176" formatCode="[$-440A]hh:mm:ss\ AM/PM"/>
    <numFmt numFmtId="177" formatCode="&quot;$&quot;#,##0.00"/>
    <numFmt numFmtId="178" formatCode="#,##0.00000000000_);\(#,##0.00000000000\)"/>
    <numFmt numFmtId="179" formatCode="#,##0.00000000000"/>
    <numFmt numFmtId="180" formatCode="#,##0.000000000000"/>
    <numFmt numFmtId="181" formatCode="[$-409]dddd\,\ mmmm\ d\,\ yyyy"/>
    <numFmt numFmtId="182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0"/>
      <color rgb="FF222222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/>
    </xf>
    <xf numFmtId="43" fontId="46" fillId="0" borderId="0" xfId="47" applyFont="1" applyAlignment="1">
      <alignment/>
    </xf>
    <xf numFmtId="49" fontId="2" fillId="0" borderId="0" xfId="53" applyNumberFormat="1" applyFill="1" applyBorder="1" applyAlignment="1" applyProtection="1">
      <alignment horizontal="center"/>
      <protection/>
    </xf>
    <xf numFmtId="0" fontId="2" fillId="0" borderId="0" xfId="53" applyFill="1" applyBorder="1" applyAlignment="1" applyProtection="1">
      <alignment horizontal="fill"/>
      <protection/>
    </xf>
    <xf numFmtId="39" fontId="2" fillId="0" borderId="0" xfId="53" applyNumberFormat="1" applyFill="1" applyBorder="1" applyAlignment="1" applyProtection="1">
      <alignment horizontal="fill"/>
      <protection/>
    </xf>
    <xf numFmtId="0" fontId="2" fillId="0" borderId="0" xfId="53" applyFill="1">
      <alignment/>
      <protection/>
    </xf>
    <xf numFmtId="49" fontId="5" fillId="0" borderId="10" xfId="53" applyNumberFormat="1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center"/>
      <protection/>
    </xf>
    <xf numFmtId="39" fontId="5" fillId="0" borderId="10" xfId="53" applyNumberFormat="1" applyFont="1" applyFill="1" applyBorder="1" applyAlignment="1" applyProtection="1">
      <alignment horizontal="center"/>
      <protection/>
    </xf>
    <xf numFmtId="49" fontId="5" fillId="0" borderId="11" xfId="53" applyNumberFormat="1" applyFont="1" applyFill="1" applyBorder="1" applyAlignment="1" applyProtection="1">
      <alignment horizontal="center"/>
      <protection/>
    </xf>
    <xf numFmtId="0" fontId="5" fillId="0" borderId="11" xfId="53" applyFont="1" applyFill="1" applyBorder="1" applyAlignment="1" applyProtection="1">
      <alignment horizontal="center"/>
      <protection/>
    </xf>
    <xf numFmtId="49" fontId="2" fillId="0" borderId="10" xfId="53" applyNumberFormat="1" applyFill="1" applyBorder="1" applyAlignment="1" applyProtection="1">
      <alignment horizontal="center"/>
      <protection/>
    </xf>
    <xf numFmtId="0" fontId="2" fillId="0" borderId="12" xfId="53" applyFill="1" applyBorder="1" applyAlignment="1" applyProtection="1">
      <alignment horizontal="fill"/>
      <protection/>
    </xf>
    <xf numFmtId="39" fontId="2" fillId="0" borderId="10" xfId="53" applyNumberFormat="1" applyFont="1" applyFill="1" applyBorder="1" applyAlignment="1" applyProtection="1">
      <alignment horizontal="fill"/>
      <protection/>
    </xf>
    <xf numFmtId="49" fontId="6" fillId="0" borderId="13" xfId="53" applyNumberFormat="1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left"/>
      <protection/>
    </xf>
    <xf numFmtId="39" fontId="2" fillId="0" borderId="13" xfId="53" applyNumberFormat="1" applyFont="1" applyFill="1" applyBorder="1">
      <alignment/>
      <protection/>
    </xf>
    <xf numFmtId="49" fontId="2" fillId="0" borderId="13" xfId="53" applyNumberFormat="1" applyFont="1" applyFill="1" applyBorder="1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/>
      <protection/>
    </xf>
    <xf numFmtId="49" fontId="2" fillId="0" borderId="13" xfId="53" applyNumberFormat="1" applyFill="1" applyBorder="1" applyAlignment="1">
      <alignment horizontal="center"/>
      <protection/>
    </xf>
    <xf numFmtId="0" fontId="2" fillId="0" borderId="0" xfId="53" applyFill="1" applyBorder="1">
      <alignment/>
      <protection/>
    </xf>
    <xf numFmtId="49" fontId="5" fillId="0" borderId="13" xfId="53" applyNumberFormat="1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39" fontId="5" fillId="0" borderId="13" xfId="53" applyNumberFormat="1" applyFont="1" applyFill="1" applyBorder="1" applyProtection="1">
      <alignment/>
      <protection/>
    </xf>
    <xf numFmtId="0" fontId="5" fillId="0" borderId="0" xfId="53" applyFont="1" applyFill="1">
      <alignment/>
      <protection/>
    </xf>
    <xf numFmtId="49" fontId="2" fillId="0" borderId="13" xfId="53" applyNumberFormat="1" applyFill="1" applyBorder="1" applyAlignment="1" applyProtection="1">
      <alignment horizontal="center"/>
      <protection/>
    </xf>
    <xf numFmtId="0" fontId="2" fillId="0" borderId="0" xfId="53" applyFill="1" applyBorder="1" applyAlignment="1" applyProtection="1">
      <alignment horizontal="left"/>
      <protection/>
    </xf>
    <xf numFmtId="39" fontId="2" fillId="0" borderId="0" xfId="53" applyNumberFormat="1" applyFill="1">
      <alignment/>
      <protection/>
    </xf>
    <xf numFmtId="49" fontId="2" fillId="0" borderId="11" xfId="53" applyNumberFormat="1" applyFill="1" applyBorder="1" applyAlignment="1" applyProtection="1">
      <alignment horizontal="center"/>
      <protection/>
    </xf>
    <xf numFmtId="0" fontId="2" fillId="0" borderId="14" xfId="53" applyFill="1" applyBorder="1" applyAlignment="1" applyProtection="1">
      <alignment horizontal="fill"/>
      <protection/>
    </xf>
    <xf numFmtId="39" fontId="2" fillId="0" borderId="11" xfId="53" applyNumberFormat="1" applyFont="1" applyFill="1" applyBorder="1" applyAlignment="1" applyProtection="1">
      <alignment horizontal="fill"/>
      <protection/>
    </xf>
    <xf numFmtId="0" fontId="2" fillId="0" borderId="0" xfId="52" applyFont="1">
      <alignment/>
      <protection/>
    </xf>
    <xf numFmtId="0" fontId="2" fillId="0" borderId="0" xfId="52">
      <alignment/>
      <protection/>
    </xf>
    <xf numFmtId="39" fontId="5" fillId="0" borderId="11" xfId="52" applyNumberFormat="1" applyFont="1" applyFill="1" applyBorder="1" applyAlignment="1" applyProtection="1">
      <alignment horizontal="center"/>
      <protection/>
    </xf>
    <xf numFmtId="39" fontId="2" fillId="0" borderId="13" xfId="53" applyNumberFormat="1" applyFont="1" applyFill="1" applyBorder="1" applyProtection="1">
      <alignment/>
      <protection locked="0"/>
    </xf>
    <xf numFmtId="39" fontId="5" fillId="0" borderId="13" xfId="53" applyNumberFormat="1" applyFont="1" applyFill="1" applyBorder="1" applyProtection="1">
      <alignment/>
      <protection locked="0"/>
    </xf>
    <xf numFmtId="0" fontId="47" fillId="0" borderId="0" xfId="53" applyFont="1" applyFill="1" applyBorder="1" applyAlignment="1" applyProtection="1">
      <alignment horizontal="left"/>
      <protection/>
    </xf>
    <xf numFmtId="39" fontId="47" fillId="0" borderId="13" xfId="53" applyNumberFormat="1" applyFont="1" applyFill="1" applyBorder="1" applyProtection="1">
      <alignment/>
      <protection locked="0"/>
    </xf>
    <xf numFmtId="39" fontId="2" fillId="0" borderId="0" xfId="53" applyNumberFormat="1" applyFill="1" applyBorder="1">
      <alignment/>
      <protection/>
    </xf>
    <xf numFmtId="0" fontId="2" fillId="0" borderId="15" xfId="53" applyFill="1" applyBorder="1">
      <alignment/>
      <protection/>
    </xf>
    <xf numFmtId="0" fontId="6" fillId="0" borderId="10" xfId="53" applyFont="1" applyFill="1" applyBorder="1" applyAlignment="1" applyProtection="1">
      <alignment horizontal="center"/>
      <protection/>
    </xf>
    <xf numFmtId="39" fontId="2" fillId="0" borderId="10" xfId="53" applyNumberFormat="1" applyFill="1" applyBorder="1">
      <alignment/>
      <protection/>
    </xf>
    <xf numFmtId="0" fontId="2" fillId="0" borderId="16" xfId="53" applyFill="1" applyBorder="1">
      <alignment/>
      <protection/>
    </xf>
    <xf numFmtId="0" fontId="6" fillId="0" borderId="13" xfId="53" applyFont="1" applyFill="1" applyBorder="1" applyAlignment="1" applyProtection="1">
      <alignment horizontal="center"/>
      <protection/>
    </xf>
    <xf numFmtId="39" fontId="2" fillId="0" borderId="13" xfId="53" applyNumberFormat="1" applyFill="1" applyBorder="1">
      <alignment/>
      <protection/>
    </xf>
    <xf numFmtId="0" fontId="2" fillId="0" borderId="16" xfId="52" applyNumberFormat="1" applyFont="1" applyFill="1" applyBorder="1" applyAlignment="1" applyProtection="1">
      <alignment horizontal="center"/>
      <protection locked="0"/>
    </xf>
    <xf numFmtId="0" fontId="48" fillId="0" borderId="13" xfId="54" applyFont="1" applyFill="1" applyBorder="1">
      <alignment/>
      <protection/>
    </xf>
    <xf numFmtId="164" fontId="2" fillId="0" borderId="13" xfId="52" applyNumberFormat="1" applyFont="1" applyFill="1" applyBorder="1" applyAlignment="1" applyProtection="1">
      <alignment horizontal="left"/>
      <protection locked="0"/>
    </xf>
    <xf numFmtId="39" fontId="2" fillId="0" borderId="13" xfId="53" applyNumberFormat="1" applyFont="1" applyFill="1" applyBorder="1" applyProtection="1">
      <alignment/>
      <protection/>
    </xf>
    <xf numFmtId="0" fontId="5" fillId="0" borderId="16" xfId="52" applyNumberFormat="1" applyFont="1" applyFill="1" applyBorder="1" applyAlignment="1" applyProtection="1">
      <alignment horizontal="center"/>
      <protection locked="0"/>
    </xf>
    <xf numFmtId="164" fontId="47" fillId="0" borderId="13" xfId="52" applyNumberFormat="1" applyFont="1" applyFill="1" applyBorder="1" applyAlignment="1" applyProtection="1">
      <alignment horizontal="left"/>
      <protection locked="0"/>
    </xf>
    <xf numFmtId="0" fontId="5" fillId="0" borderId="0" xfId="53" applyFont="1" applyFill="1" applyBorder="1">
      <alignment/>
      <protection/>
    </xf>
    <xf numFmtId="164" fontId="5" fillId="0" borderId="13" xfId="52" applyNumberFormat="1" applyFont="1" applyFill="1" applyBorder="1" applyAlignment="1" applyProtection="1">
      <alignment horizontal="left"/>
      <protection locked="0"/>
    </xf>
    <xf numFmtId="0" fontId="5" fillId="0" borderId="16" xfId="52" applyNumberFormat="1" applyFont="1" applyFill="1" applyBorder="1" applyAlignment="1" applyProtection="1">
      <alignment horizontal="center"/>
      <protection/>
    </xf>
    <xf numFmtId="164" fontId="5" fillId="0" borderId="13" xfId="52" applyNumberFormat="1" applyFont="1" applyFill="1" applyBorder="1" applyAlignment="1" applyProtection="1">
      <alignment horizontal="left"/>
      <protection/>
    </xf>
    <xf numFmtId="164" fontId="47" fillId="0" borderId="13" xfId="52" applyNumberFormat="1" applyFont="1" applyFill="1" applyBorder="1" applyAlignment="1" applyProtection="1">
      <alignment horizontal="left"/>
      <protection/>
    </xf>
    <xf numFmtId="0" fontId="2" fillId="0" borderId="17" xfId="53" applyFill="1" applyBorder="1">
      <alignment/>
      <protection/>
    </xf>
    <xf numFmtId="43" fontId="46" fillId="15" borderId="0" xfId="47" applyFont="1" applyFill="1" applyAlignment="1">
      <alignment/>
    </xf>
    <xf numFmtId="43" fontId="46" fillId="18" borderId="0" xfId="47" applyFont="1" applyFill="1" applyAlignment="1">
      <alignment/>
    </xf>
    <xf numFmtId="43" fontId="46" fillId="16" borderId="0" xfId="47" applyFont="1" applyFill="1" applyAlignment="1">
      <alignment/>
    </xf>
    <xf numFmtId="43" fontId="46" fillId="33" borderId="0" xfId="47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3" fontId="2" fillId="0" borderId="0" xfId="47" applyFont="1" applyFill="1" applyAlignment="1">
      <alignment/>
    </xf>
    <xf numFmtId="164" fontId="47" fillId="0" borderId="11" xfId="52" applyNumberFormat="1" applyFont="1" applyFill="1" applyBorder="1" applyAlignment="1" applyProtection="1">
      <alignment horizontal="left"/>
      <protection/>
    </xf>
    <xf numFmtId="39" fontId="47" fillId="0" borderId="11" xfId="53" applyNumberFormat="1" applyFont="1" applyFill="1" applyBorder="1" applyProtection="1">
      <alignment/>
      <protection locked="0"/>
    </xf>
    <xf numFmtId="0" fontId="49" fillId="0" borderId="0" xfId="0" applyFont="1" applyAlignment="1">
      <alignment/>
    </xf>
    <xf numFmtId="4" fontId="5" fillId="0" borderId="0" xfId="53" applyNumberFormat="1" applyFont="1" applyFill="1">
      <alignment/>
      <protection/>
    </xf>
    <xf numFmtId="43" fontId="5" fillId="0" borderId="0" xfId="47" applyFont="1" applyFill="1" applyAlignment="1">
      <alignment/>
    </xf>
    <xf numFmtId="43" fontId="0" fillId="0" borderId="0" xfId="47" applyFont="1" applyAlignment="1">
      <alignment/>
    </xf>
    <xf numFmtId="0" fontId="46" fillId="0" borderId="0" xfId="0" applyFont="1" applyAlignment="1">
      <alignment horizontal="center"/>
    </xf>
    <xf numFmtId="0" fontId="5" fillId="0" borderId="15" xfId="53" applyFont="1" applyFill="1" applyBorder="1" applyAlignment="1">
      <alignment horizontal="center" wrapText="1"/>
      <protection/>
    </xf>
    <xf numFmtId="43" fontId="5" fillId="0" borderId="0" xfId="47" applyFont="1" applyFill="1" applyBorder="1" applyAlignment="1">
      <alignment/>
    </xf>
    <xf numFmtId="43" fontId="2" fillId="0" borderId="0" xfId="47" applyFont="1" applyFill="1" applyBorder="1" applyAlignment="1">
      <alignment/>
    </xf>
    <xf numFmtId="43" fontId="2" fillId="0" borderId="0" xfId="47" applyFont="1" applyAlignment="1">
      <alignment/>
    </xf>
    <xf numFmtId="43" fontId="46" fillId="0" borderId="0" xfId="47" applyFont="1" applyAlignment="1">
      <alignment horizontal="center"/>
    </xf>
    <xf numFmtId="17" fontId="46" fillId="0" borderId="0" xfId="47" applyNumberFormat="1" applyFont="1" applyAlignment="1">
      <alignment horizontal="center"/>
    </xf>
    <xf numFmtId="43" fontId="0" fillId="0" borderId="0" xfId="47" applyFont="1" applyAlignment="1">
      <alignment horizontal="right"/>
    </xf>
    <xf numFmtId="43" fontId="0" fillId="34" borderId="0" xfId="47" applyFont="1" applyFill="1" applyAlignment="1">
      <alignment horizontal="right"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0" fontId="9" fillId="0" borderId="0" xfId="0" applyFont="1" applyAlignment="1">
      <alignment/>
    </xf>
    <xf numFmtId="43" fontId="46" fillId="35" borderId="18" xfId="47" applyFont="1" applyFill="1" applyBorder="1" applyAlignment="1">
      <alignment horizontal="center"/>
    </xf>
    <xf numFmtId="0" fontId="46" fillId="35" borderId="19" xfId="0" applyFont="1" applyFill="1" applyBorder="1" applyAlignment="1">
      <alignment horizontal="center"/>
    </xf>
    <xf numFmtId="43" fontId="46" fillId="35" borderId="19" xfId="47" applyFont="1" applyFill="1" applyBorder="1" applyAlignment="1">
      <alignment horizontal="center" wrapText="1"/>
    </xf>
    <xf numFmtId="43" fontId="46" fillId="35" borderId="20" xfId="47" applyFont="1" applyFill="1" applyBorder="1" applyAlignment="1">
      <alignment horizontal="center" wrapText="1"/>
    </xf>
    <xf numFmtId="43" fontId="0" fillId="0" borderId="21" xfId="47" applyFont="1" applyBorder="1" applyAlignment="1">
      <alignment/>
    </xf>
    <xf numFmtId="0" fontId="50" fillId="0" borderId="22" xfId="0" applyFont="1" applyBorder="1" applyAlignment="1">
      <alignment/>
    </xf>
    <xf numFmtId="43" fontId="50" fillId="0" borderId="23" xfId="47" applyFont="1" applyBorder="1" applyAlignment="1">
      <alignment/>
    </xf>
    <xf numFmtId="43" fontId="0" fillId="0" borderId="24" xfId="47" applyFont="1" applyFill="1" applyBorder="1" applyAlignment="1">
      <alignment/>
    </xf>
    <xf numFmtId="0" fontId="0" fillId="0" borderId="22" xfId="0" applyBorder="1" applyAlignment="1">
      <alignment/>
    </xf>
    <xf numFmtId="43" fontId="0" fillId="0" borderId="22" xfId="47" applyFont="1" applyBorder="1" applyAlignment="1">
      <alignment/>
    </xf>
    <xf numFmtId="43" fontId="0" fillId="0" borderId="25" xfId="47" applyFont="1" applyFill="1" applyBorder="1" applyAlignment="1">
      <alignment/>
    </xf>
    <xf numFmtId="0" fontId="2" fillId="0" borderId="22" xfId="0" applyFont="1" applyBorder="1" applyAlignment="1">
      <alignment/>
    </xf>
    <xf numFmtId="43" fontId="2" fillId="0" borderId="22" xfId="47" applyFont="1" applyBorder="1" applyAlignment="1">
      <alignment/>
    </xf>
    <xf numFmtId="43" fontId="0" fillId="0" borderId="21" xfId="47" applyFont="1" applyFill="1" applyBorder="1" applyAlignment="1">
      <alignment/>
    </xf>
    <xf numFmtId="0" fontId="0" fillId="0" borderId="22" xfId="0" applyFill="1" applyBorder="1" applyAlignment="1">
      <alignment/>
    </xf>
    <xf numFmtId="43" fontId="0" fillId="0" borderId="22" xfId="47" applyFont="1" applyFill="1" applyBorder="1" applyAlignment="1">
      <alignment/>
    </xf>
    <xf numFmtId="43" fontId="5" fillId="35" borderId="19" xfId="47" applyFont="1" applyFill="1" applyBorder="1" applyAlignment="1">
      <alignment/>
    </xf>
    <xf numFmtId="43" fontId="5" fillId="35" borderId="20" xfId="47" applyFont="1" applyFill="1" applyBorder="1" applyAlignment="1">
      <alignment/>
    </xf>
    <xf numFmtId="43" fontId="5" fillId="35" borderId="18" xfId="47" applyFont="1" applyFill="1" applyBorder="1" applyAlignment="1">
      <alignment/>
    </xf>
    <xf numFmtId="0" fontId="5" fillId="35" borderId="19" xfId="0" applyFont="1" applyFill="1" applyBorder="1" applyAlignment="1">
      <alignment/>
    </xf>
    <xf numFmtId="43" fontId="0" fillId="0" borderId="0" xfId="47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9" fontId="2" fillId="15" borderId="13" xfId="53" applyNumberFormat="1" applyFont="1" applyFill="1" applyBorder="1" applyProtection="1">
      <alignment/>
      <protection locked="0"/>
    </xf>
    <xf numFmtId="43" fontId="0" fillId="0" borderId="0" xfId="47" applyFont="1" applyAlignment="1">
      <alignment horizontal="right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15" borderId="0" xfId="47" applyFont="1" applyFill="1" applyAlignment="1">
      <alignment/>
    </xf>
    <xf numFmtId="43" fontId="0" fillId="0" borderId="0" xfId="47" applyFont="1" applyFill="1" applyBorder="1" applyAlignment="1">
      <alignment/>
    </xf>
    <xf numFmtId="43" fontId="46" fillId="34" borderId="0" xfId="47" applyFont="1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6" fillId="0" borderId="26" xfId="0" applyFont="1" applyBorder="1" applyAlignment="1">
      <alignment/>
    </xf>
    <xf numFmtId="0" fontId="46" fillId="0" borderId="26" xfId="0" applyFont="1" applyBorder="1" applyAlignment="1">
      <alignment horizontal="center"/>
    </xf>
    <xf numFmtId="168" fontId="0" fillId="0" borderId="0" xfId="47" applyNumberFormat="1" applyFont="1" applyAlignment="1">
      <alignment/>
    </xf>
    <xf numFmtId="168" fontId="46" fillId="0" borderId="27" xfId="47" applyNumberFormat="1" applyFont="1" applyBorder="1" applyAlignment="1">
      <alignment horizontal="center"/>
    </xf>
    <xf numFmtId="168" fontId="0" fillId="0" borderId="13" xfId="47" applyNumberFormat="1" applyFont="1" applyBorder="1" applyAlignment="1">
      <alignment/>
    </xf>
    <xf numFmtId="168" fontId="0" fillId="0" borderId="13" xfId="47" applyNumberFormat="1" applyFont="1" applyBorder="1" applyAlignment="1">
      <alignment/>
    </xf>
    <xf numFmtId="169" fontId="46" fillId="0" borderId="27" xfId="49" applyNumberFormat="1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50" fillId="0" borderId="28" xfId="47" applyFont="1" applyBorder="1" applyAlignment="1">
      <alignment/>
    </xf>
    <xf numFmtId="43" fontId="50" fillId="0" borderId="29" xfId="47" applyFont="1" applyBorder="1" applyAlignment="1">
      <alignment/>
    </xf>
    <xf numFmtId="43" fontId="0" fillId="0" borderId="30" xfId="47" applyFont="1" applyFill="1" applyBorder="1" applyAlignment="1">
      <alignment/>
    </xf>
    <xf numFmtId="43" fontId="0" fillId="0" borderId="0" xfId="47" applyFont="1" applyAlignment="1">
      <alignment/>
    </xf>
    <xf numFmtId="0" fontId="0" fillId="36" borderId="0" xfId="0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15" borderId="25" xfId="47" applyFont="1" applyFill="1" applyBorder="1" applyAlignment="1">
      <alignment/>
    </xf>
    <xf numFmtId="4" fontId="0" fillId="0" borderId="31" xfId="0" applyNumberFormat="1" applyBorder="1" applyAlignment="1">
      <alignment/>
    </xf>
    <xf numFmtId="4" fontId="46" fillId="0" borderId="31" xfId="0" applyNumberFormat="1" applyFont="1" applyBorder="1" applyAlignment="1">
      <alignment/>
    </xf>
    <xf numFmtId="0" fontId="5" fillId="37" borderId="27" xfId="53" applyFont="1" applyFill="1" applyBorder="1" applyAlignment="1" applyProtection="1">
      <alignment horizontal="left"/>
      <protection/>
    </xf>
    <xf numFmtId="0" fontId="46" fillId="37" borderId="27" xfId="0" applyFont="1" applyFill="1" applyBorder="1" applyAlignment="1">
      <alignment/>
    </xf>
    <xf numFmtId="43" fontId="0" fillId="0" borderId="0" xfId="47" applyFont="1" applyAlignment="1">
      <alignment/>
    </xf>
    <xf numFmtId="43" fontId="0" fillId="0" borderId="31" xfId="47" applyFont="1" applyBorder="1" applyAlignment="1">
      <alignment/>
    </xf>
    <xf numFmtId="0" fontId="0" fillId="0" borderId="0" xfId="47" applyNumberFormat="1" applyFont="1" applyAlignment="1">
      <alignment/>
    </xf>
    <xf numFmtId="0" fontId="46" fillId="0" borderId="0" xfId="47" applyNumberFormat="1" applyFont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39" fontId="2" fillId="16" borderId="13" xfId="53" applyNumberFormat="1" applyFont="1" applyFill="1" applyBorder="1" applyProtection="1">
      <alignment/>
      <protection locked="0"/>
    </xf>
    <xf numFmtId="4" fontId="46" fillId="0" borderId="0" xfId="0" applyNumberFormat="1" applyFont="1" applyAlignment="1">
      <alignment/>
    </xf>
    <xf numFmtId="0" fontId="46" fillId="34" borderId="0" xfId="0" applyFont="1" applyFill="1" applyAlignment="1">
      <alignment/>
    </xf>
    <xf numFmtId="39" fontId="2" fillId="34" borderId="13" xfId="53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3" fontId="46" fillId="34" borderId="0" xfId="0" applyNumberFormat="1" applyFont="1" applyFill="1" applyAlignment="1">
      <alignment/>
    </xf>
    <xf numFmtId="43" fontId="0" fillId="0" borderId="0" xfId="47" applyFont="1" applyAlignment="1">
      <alignment/>
    </xf>
    <xf numFmtId="0" fontId="0" fillId="15" borderId="0" xfId="0" applyFill="1" applyAlignment="1">
      <alignment/>
    </xf>
    <xf numFmtId="0" fontId="0" fillId="0" borderId="0" xfId="0" applyAlignment="1">
      <alignment horizontal="right"/>
    </xf>
    <xf numFmtId="43" fontId="0" fillId="0" borderId="0" xfId="47" applyFont="1" applyAlignment="1">
      <alignment/>
    </xf>
    <xf numFmtId="4" fontId="46" fillId="34" borderId="27" xfId="0" applyNumberFormat="1" applyFont="1" applyFill="1" applyBorder="1" applyAlignment="1">
      <alignment/>
    </xf>
    <xf numFmtId="43" fontId="46" fillId="34" borderId="27" xfId="0" applyNumberFormat="1" applyFont="1" applyFill="1" applyBorder="1" applyAlignment="1">
      <alignment/>
    </xf>
    <xf numFmtId="43" fontId="0" fillId="0" borderId="0" xfId="47" applyFont="1" applyBorder="1" applyAlignment="1">
      <alignment/>
    </xf>
    <xf numFmtId="43" fontId="0" fillId="0" borderId="31" xfId="47" applyFont="1" applyFill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50" fillId="0" borderId="0" xfId="0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" fontId="0" fillId="34" borderId="0" xfId="0" applyNumberFormat="1" applyFill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39" fontId="2" fillId="35" borderId="13" xfId="53" applyNumberFormat="1" applyFont="1" applyFill="1" applyBorder="1" applyProtection="1">
      <alignment/>
      <protection locked="0"/>
    </xf>
    <xf numFmtId="43" fontId="0" fillId="0" borderId="0" xfId="47" applyFont="1" applyFill="1" applyBorder="1" applyAlignment="1">
      <alignment/>
    </xf>
    <xf numFmtId="165" fontId="0" fillId="0" borderId="0" xfId="0" applyNumberFormat="1" applyAlignment="1">
      <alignment/>
    </xf>
    <xf numFmtId="43" fontId="46" fillId="0" borderId="0" xfId="47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/>
    </xf>
    <xf numFmtId="43" fontId="46" fillId="35" borderId="15" xfId="47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43" fontId="0" fillId="0" borderId="32" xfId="47" applyFont="1" applyBorder="1" applyAlignment="1">
      <alignment/>
    </xf>
    <xf numFmtId="0" fontId="0" fillId="0" borderId="23" xfId="0" applyBorder="1" applyAlignment="1">
      <alignment/>
    </xf>
    <xf numFmtId="43" fontId="0" fillId="0" borderId="23" xfId="47" applyFont="1" applyBorder="1" applyAlignment="1">
      <alignment/>
    </xf>
    <xf numFmtId="43" fontId="0" fillId="0" borderId="24" xfId="47" applyFont="1" applyBorder="1" applyAlignment="1">
      <alignment/>
    </xf>
    <xf numFmtId="43" fontId="0" fillId="0" borderId="33" xfId="47" applyFont="1" applyBorder="1" applyAlignment="1">
      <alignment/>
    </xf>
    <xf numFmtId="0" fontId="0" fillId="0" borderId="34" xfId="0" applyBorder="1" applyAlignment="1">
      <alignment/>
    </xf>
    <xf numFmtId="43" fontId="0" fillId="0" borderId="34" xfId="47" applyFont="1" applyBorder="1" applyAlignment="1">
      <alignment/>
    </xf>
    <xf numFmtId="0" fontId="0" fillId="37" borderId="0" xfId="0" applyFill="1" applyAlignment="1">
      <alignment/>
    </xf>
    <xf numFmtId="0" fontId="46" fillId="34" borderId="0" xfId="47" applyNumberFormat="1" applyFont="1" applyFill="1" applyAlignment="1">
      <alignment/>
    </xf>
    <xf numFmtId="0" fontId="0" fillId="37" borderId="0" xfId="47" applyNumberFormat="1" applyFont="1" applyFill="1" applyAlignment="1">
      <alignment/>
    </xf>
    <xf numFmtId="0" fontId="0" fillId="8" borderId="0" xfId="0" applyFill="1" applyAlignment="1">
      <alignment/>
    </xf>
    <xf numFmtId="3" fontId="5" fillId="0" borderId="0" xfId="53" applyNumberFormat="1" applyFont="1" applyFill="1">
      <alignment/>
      <protection/>
    </xf>
    <xf numFmtId="43" fontId="2" fillId="0" borderId="0" xfId="53" applyNumberFormat="1" applyFill="1">
      <alignment/>
      <protection/>
    </xf>
    <xf numFmtId="0" fontId="3" fillId="0" borderId="0" xfId="52" applyFont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46" fillId="0" borderId="0" xfId="0" applyFont="1" applyAlignment="1">
      <alignment horizontal="center"/>
    </xf>
    <xf numFmtId="43" fontId="51" fillId="0" borderId="14" xfId="47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381000</xdr:colOff>
      <xdr:row>34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10490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71</xdr:row>
      <xdr:rowOff>180975</xdr:rowOff>
    </xdr:from>
    <xdr:to>
      <xdr:col>14</xdr:col>
      <xdr:colOff>400050</xdr:colOff>
      <xdr:row>100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3706475"/>
          <a:ext cx="11010900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14</xdr:col>
      <xdr:colOff>352425</xdr:colOff>
      <xdr:row>69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48500"/>
          <a:ext cx="1102042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17</xdr:col>
      <xdr:colOff>57150</xdr:colOff>
      <xdr:row>141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002500"/>
          <a:ext cx="13011150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zoomScalePageLayoutView="0" workbookViewId="0" topLeftCell="B100">
      <selection activeCell="B115" sqref="B115"/>
    </sheetView>
  </sheetViews>
  <sheetFormatPr defaultColWidth="11.421875" defaultRowHeight="15"/>
  <cols>
    <col min="1" max="1" width="10.140625" style="7" customWidth="1"/>
    <col min="2" max="2" width="38.7109375" style="7" customWidth="1"/>
    <col min="3" max="3" width="16.7109375" style="7" customWidth="1"/>
    <col min="4" max="4" width="15.140625" style="7" customWidth="1"/>
    <col min="5" max="5" width="13.8515625" style="7" customWidth="1"/>
    <col min="6" max="6" width="11.8515625" style="65" customWidth="1"/>
    <col min="7" max="7" width="18.28125" style="7" bestFit="1" customWidth="1"/>
    <col min="8" max="16384" width="11.421875" style="7" customWidth="1"/>
  </cols>
  <sheetData>
    <row r="1" spans="1:6" s="34" customFormat="1" ht="12.75">
      <c r="A1" s="33"/>
      <c r="B1" s="33"/>
      <c r="F1" s="76"/>
    </row>
    <row r="2" spans="1:6" s="34" customFormat="1" ht="23.25">
      <c r="A2" s="192"/>
      <c r="B2" s="192"/>
      <c r="C2" s="192"/>
      <c r="F2" s="76"/>
    </row>
    <row r="3" spans="1:6" s="34" customFormat="1" ht="18">
      <c r="A3" s="193" t="s">
        <v>204</v>
      </c>
      <c r="B3" s="193"/>
      <c r="C3" s="193"/>
      <c r="F3" s="76"/>
    </row>
    <row r="4" spans="1:6" s="34" customFormat="1" ht="18">
      <c r="A4" s="193" t="s">
        <v>435</v>
      </c>
      <c r="B4" s="193"/>
      <c r="C4" s="193"/>
      <c r="F4" s="76"/>
    </row>
    <row r="5" spans="1:3" ht="13.5" thickBot="1">
      <c r="A5" s="4"/>
      <c r="B5" s="5"/>
      <c r="C5" s="6"/>
    </row>
    <row r="6" spans="1:3" ht="12.75">
      <c r="A6" s="8" t="s">
        <v>65</v>
      </c>
      <c r="B6" s="9"/>
      <c r="C6" s="10" t="s">
        <v>141</v>
      </c>
    </row>
    <row r="7" spans="1:3" ht="13.5" thickBot="1">
      <c r="A7" s="11" t="s">
        <v>66</v>
      </c>
      <c r="B7" s="12" t="s">
        <v>67</v>
      </c>
      <c r="C7" s="35" t="s">
        <v>142</v>
      </c>
    </row>
    <row r="8" spans="1:3" ht="12.75">
      <c r="A8" s="13"/>
      <c r="B8" s="14"/>
      <c r="C8" s="15"/>
    </row>
    <row r="9" spans="1:3" ht="12.75">
      <c r="A9" s="16"/>
      <c r="B9" s="17" t="s">
        <v>68</v>
      </c>
      <c r="C9" s="18"/>
    </row>
    <row r="10" spans="1:3" ht="12.75">
      <c r="A10" s="16"/>
      <c r="B10" s="17"/>
      <c r="C10" s="18"/>
    </row>
    <row r="11" spans="1:5" ht="12.75">
      <c r="A11" s="19" t="s">
        <v>70</v>
      </c>
      <c r="B11" s="20" t="s">
        <v>44</v>
      </c>
      <c r="C11" s="36">
        <f>+'Lista de Saldos IM'!E35</f>
        <v>109491.4600000001</v>
      </c>
      <c r="E11" s="29"/>
    </row>
    <row r="12" spans="1:3" ht="12.75">
      <c r="A12" s="21"/>
      <c r="B12" s="22"/>
      <c r="C12" s="18"/>
    </row>
    <row r="13" spans="1:3" ht="12.75">
      <c r="A13" s="19" t="s">
        <v>71</v>
      </c>
      <c r="B13" s="20" t="s">
        <v>72</v>
      </c>
      <c r="C13" s="36"/>
    </row>
    <row r="14" spans="1:3" ht="12.75">
      <c r="A14" s="21"/>
      <c r="B14" s="22"/>
      <c r="C14" s="18"/>
    </row>
    <row r="15" spans="1:3" ht="12.75">
      <c r="A15" s="19" t="s">
        <v>73</v>
      </c>
      <c r="B15" s="20" t="s">
        <v>64</v>
      </c>
      <c r="C15" s="151">
        <f>+'Lista de Saldos IM'!E36</f>
        <v>284312.63</v>
      </c>
    </row>
    <row r="16" spans="1:3" ht="12.75">
      <c r="A16" s="19" t="s">
        <v>74</v>
      </c>
      <c r="B16" s="20" t="s">
        <v>75</v>
      </c>
      <c r="C16" s="151"/>
    </row>
    <row r="17" spans="1:3" ht="12.75">
      <c r="A17" s="19" t="s">
        <v>76</v>
      </c>
      <c r="B17" s="20" t="s">
        <v>45</v>
      </c>
      <c r="C17" s="151">
        <f>+'Lista de Saldos IM'!E41</f>
        <v>283087.61000000004</v>
      </c>
    </row>
    <row r="18" spans="1:6" s="26" customFormat="1" ht="12.75">
      <c r="A18" s="23" t="s">
        <v>77</v>
      </c>
      <c r="B18" s="24" t="s">
        <v>78</v>
      </c>
      <c r="C18" s="37">
        <f>SUM(C15:C17)</f>
        <v>567400.24</v>
      </c>
      <c r="F18" s="70"/>
    </row>
    <row r="19" spans="1:3" ht="12.75">
      <c r="A19" s="19" t="s">
        <v>79</v>
      </c>
      <c r="B19" s="20" t="s">
        <v>80</v>
      </c>
      <c r="C19" s="36"/>
    </row>
    <row r="20" spans="1:6" s="26" customFormat="1" ht="12.75">
      <c r="A20" s="23" t="s">
        <v>81</v>
      </c>
      <c r="B20" s="38" t="s">
        <v>82</v>
      </c>
      <c r="C20" s="39">
        <f>SUM(C18:C19)</f>
        <v>567400.24</v>
      </c>
      <c r="F20" s="70"/>
    </row>
    <row r="21" spans="1:3" ht="12.75">
      <c r="A21" s="27" t="s">
        <v>69</v>
      </c>
      <c r="B21" s="28" t="s">
        <v>69</v>
      </c>
      <c r="C21" s="18"/>
    </row>
    <row r="22" spans="1:3" ht="12.75">
      <c r="A22" s="19" t="s">
        <v>83</v>
      </c>
      <c r="B22" s="20" t="s">
        <v>46</v>
      </c>
      <c r="C22" s="36">
        <f>+'Lista de Saldos IM'!E42</f>
        <v>53663.14</v>
      </c>
    </row>
    <row r="23" spans="1:3" ht="12.75">
      <c r="A23" s="21"/>
      <c r="B23" s="22"/>
      <c r="C23" s="18"/>
    </row>
    <row r="24" spans="1:6" s="26" customFormat="1" ht="12.75">
      <c r="A24" s="23" t="s">
        <v>84</v>
      </c>
      <c r="B24" s="38" t="s">
        <v>85</v>
      </c>
      <c r="C24" s="39">
        <f>C11+C18+C22</f>
        <v>730554.8400000001</v>
      </c>
      <c r="F24" s="70"/>
    </row>
    <row r="25" spans="1:3" ht="12.75">
      <c r="A25" s="21"/>
      <c r="B25" s="22"/>
      <c r="C25" s="18"/>
    </row>
    <row r="26" spans="1:3" ht="12.75">
      <c r="A26" s="19"/>
      <c r="B26" s="20" t="s">
        <v>143</v>
      </c>
      <c r="C26" s="36">
        <f>+'Lista de Saldos IM'!E90</f>
        <v>3500000</v>
      </c>
    </row>
    <row r="27" spans="1:3" ht="12.75">
      <c r="A27" s="21"/>
      <c r="B27" s="22"/>
      <c r="C27" s="18"/>
    </row>
    <row r="28" spans="1:3" ht="12.75">
      <c r="A28" s="16"/>
      <c r="B28" s="17" t="s">
        <v>86</v>
      </c>
      <c r="C28" s="18"/>
    </row>
    <row r="29" spans="1:3" ht="12.75">
      <c r="A29" s="19" t="s">
        <v>87</v>
      </c>
      <c r="B29" s="20" t="s">
        <v>47</v>
      </c>
      <c r="C29" s="36">
        <f>+'Lista de Saldos IM'!E45</f>
        <v>3356500.78</v>
      </c>
    </row>
    <row r="30" spans="1:3" ht="12.75">
      <c r="A30" s="19" t="s">
        <v>88</v>
      </c>
      <c r="B30" s="20" t="s">
        <v>48</v>
      </c>
      <c r="C30" s="36">
        <f>+'Lista de Saldos IM'!E48</f>
        <v>3928066.8200000003</v>
      </c>
    </row>
    <row r="31" spans="1:3" ht="12.75">
      <c r="A31" s="19" t="s">
        <v>89</v>
      </c>
      <c r="B31" s="20" t="s">
        <v>49</v>
      </c>
      <c r="C31" s="36">
        <f>+'Lista de Saldos IM'!E49+'Lista de Saldos IM'!E50</f>
        <v>7435874.22</v>
      </c>
    </row>
    <row r="32" spans="1:3" ht="12.75">
      <c r="A32" s="19"/>
      <c r="B32" s="20" t="s">
        <v>144</v>
      </c>
      <c r="C32" s="36">
        <f>+'Lista de Saldos IM'!E52</f>
        <v>426105.16</v>
      </c>
    </row>
    <row r="33" spans="1:3" ht="12.75">
      <c r="A33" s="19"/>
      <c r="B33" s="20" t="s">
        <v>328</v>
      </c>
      <c r="C33" s="36">
        <f>+'Lista de Saldos IM'!E53</f>
        <v>119214.56</v>
      </c>
    </row>
    <row r="34" spans="1:3" ht="12.75">
      <c r="A34" s="19"/>
      <c r="B34" s="20" t="s">
        <v>51</v>
      </c>
      <c r="C34" s="36">
        <f>+'Lista de Saldos IM'!E61</f>
        <v>0</v>
      </c>
    </row>
    <row r="35" spans="1:6" s="26" customFormat="1" ht="12.75">
      <c r="A35" s="23" t="s">
        <v>90</v>
      </c>
      <c r="B35" s="24" t="s">
        <v>91</v>
      </c>
      <c r="C35" s="37">
        <f>SUM(C29:C34)</f>
        <v>15265761.540000001</v>
      </c>
      <c r="F35" s="70"/>
    </row>
    <row r="36" spans="1:5" ht="12.75">
      <c r="A36" s="19" t="s">
        <v>92</v>
      </c>
      <c r="B36" s="20" t="s">
        <v>52</v>
      </c>
      <c r="C36" s="36">
        <f>+'Lista de Saldos IM'!E59+'Lista de Saldos IM'!E51</f>
        <v>-2386556.79</v>
      </c>
      <c r="D36" s="65"/>
      <c r="E36" s="191"/>
    </row>
    <row r="37" spans="1:6" s="26" customFormat="1" ht="12.75">
      <c r="A37" s="23" t="s">
        <v>93</v>
      </c>
      <c r="B37" s="38" t="s">
        <v>145</v>
      </c>
      <c r="C37" s="39">
        <f>SUM(C35:C36)</f>
        <v>12879204.75</v>
      </c>
      <c r="D37" s="190"/>
      <c r="E37" s="70"/>
      <c r="F37" s="70"/>
    </row>
    <row r="38" spans="1:5" ht="12.75">
      <c r="A38" s="21"/>
      <c r="B38" s="22"/>
      <c r="C38" s="18"/>
      <c r="E38" s="65"/>
    </row>
    <row r="39" spans="1:5" ht="12.75">
      <c r="A39" s="19" t="s">
        <v>94</v>
      </c>
      <c r="B39" s="20" t="s">
        <v>95</v>
      </c>
      <c r="C39" s="36">
        <v>0</v>
      </c>
      <c r="E39" s="65"/>
    </row>
    <row r="40" spans="1:6" s="26" customFormat="1" ht="12.75">
      <c r="A40" s="23" t="s">
        <v>96</v>
      </c>
      <c r="B40" s="38" t="s">
        <v>97</v>
      </c>
      <c r="C40" s="39">
        <f>SUM(C39)</f>
        <v>0</v>
      </c>
      <c r="F40" s="70"/>
    </row>
    <row r="41" spans="1:3" ht="12.75">
      <c r="A41" s="21"/>
      <c r="B41" s="22"/>
      <c r="C41" s="18"/>
    </row>
    <row r="42" spans="1:3" ht="12.75">
      <c r="A42" s="19" t="s">
        <v>98</v>
      </c>
      <c r="B42" s="20" t="s">
        <v>53</v>
      </c>
      <c r="C42" s="36">
        <f>+'Lista de Saldos IM'!E62</f>
        <v>3764205.34</v>
      </c>
    </row>
    <row r="43" spans="1:3" ht="12.75">
      <c r="A43" s="21"/>
      <c r="B43" s="22" t="s">
        <v>372</v>
      </c>
      <c r="C43" s="18">
        <f>+'Lista de Saldos IM'!E60</f>
        <v>318443.5</v>
      </c>
    </row>
    <row r="44" spans="1:7" s="26" customFormat="1" ht="12.75">
      <c r="A44" s="23" t="s">
        <v>99</v>
      </c>
      <c r="B44" s="38" t="s">
        <v>100</v>
      </c>
      <c r="C44" s="39">
        <f>C24+C26+C37+C40+C42+C43</f>
        <v>21192408.43</v>
      </c>
      <c r="D44" s="69"/>
      <c r="E44" s="69"/>
      <c r="F44" s="70"/>
      <c r="G44" s="70"/>
    </row>
    <row r="45" spans="1:3" ht="13.5" thickBot="1">
      <c r="A45" s="30"/>
      <c r="B45" s="31"/>
      <c r="C45" s="32"/>
    </row>
    <row r="46" spans="1:3" ht="12.75">
      <c r="A46" s="13"/>
      <c r="B46" s="14"/>
      <c r="C46" s="15"/>
    </row>
    <row r="47" spans="1:3" ht="12.75">
      <c r="A47" s="16"/>
      <c r="B47" s="17" t="s">
        <v>101</v>
      </c>
      <c r="C47" s="18"/>
    </row>
    <row r="48" spans="1:3" ht="12.75">
      <c r="A48" s="21"/>
      <c r="B48" s="22"/>
      <c r="C48" s="18"/>
    </row>
    <row r="49" spans="1:3" ht="12.75">
      <c r="A49" s="19" t="s">
        <v>102</v>
      </c>
      <c r="B49" s="20" t="s">
        <v>103</v>
      </c>
      <c r="C49" s="36"/>
    </row>
    <row r="50" spans="1:5" ht="12.75">
      <c r="A50" s="19" t="s">
        <v>104</v>
      </c>
      <c r="B50" s="20" t="s">
        <v>54</v>
      </c>
      <c r="C50" s="148">
        <f>-'Lista de Saldos IM'!E63</f>
        <v>1077620.32</v>
      </c>
      <c r="E50" s="7" t="s">
        <v>351</v>
      </c>
    </row>
    <row r="51" spans="1:4" ht="12.75">
      <c r="A51" s="19" t="s">
        <v>105</v>
      </c>
      <c r="B51" s="20" t="s">
        <v>106</v>
      </c>
      <c r="C51" s="148">
        <f>-'Lista de Saldos IM'!E64</f>
        <v>569187.08</v>
      </c>
      <c r="D51" s="7" t="s">
        <v>375</v>
      </c>
    </row>
    <row r="52" spans="1:6" s="26" customFormat="1" ht="12.75">
      <c r="A52" s="23" t="s">
        <v>107</v>
      </c>
      <c r="B52" s="38" t="s">
        <v>108</v>
      </c>
      <c r="C52" s="39">
        <f>SUM(C49:C51)</f>
        <v>1646807.4</v>
      </c>
      <c r="F52" s="70"/>
    </row>
    <row r="53" spans="1:3" ht="12.75">
      <c r="A53" s="21"/>
      <c r="B53" s="22"/>
      <c r="C53" s="18"/>
    </row>
    <row r="54" spans="1:3" ht="12.75">
      <c r="A54" s="19" t="s">
        <v>109</v>
      </c>
      <c r="B54" s="20" t="s">
        <v>55</v>
      </c>
      <c r="C54" s="151">
        <f>-'Lista de Saldos IM'!E66</f>
        <v>316909.13</v>
      </c>
    </row>
    <row r="55" spans="1:4" ht="12.75">
      <c r="A55" s="19" t="s">
        <v>110</v>
      </c>
      <c r="B55" s="20" t="s">
        <v>56</v>
      </c>
      <c r="C55" s="151">
        <f>-'Lista de Saldos IM'!E67</f>
        <v>135000</v>
      </c>
      <c r="D55" s="7" t="s">
        <v>300</v>
      </c>
    </row>
    <row r="56" spans="1:3" ht="12.75">
      <c r="A56" s="19" t="s">
        <v>111</v>
      </c>
      <c r="B56" s="20" t="s">
        <v>57</v>
      </c>
      <c r="C56" s="151">
        <f>-'Lista de Saldos IM'!E78</f>
        <v>75603.45000000001</v>
      </c>
    </row>
    <row r="57" spans="1:4" ht="12.75">
      <c r="A57" s="19" t="s">
        <v>112</v>
      </c>
      <c r="B57" s="20" t="s">
        <v>58</v>
      </c>
      <c r="C57" s="36">
        <f>-'Lista de Saldos IM'!E79</f>
        <v>53530.06</v>
      </c>
      <c r="D57" s="7" t="s">
        <v>299</v>
      </c>
    </row>
    <row r="58" spans="1:3" ht="12.75">
      <c r="A58" s="19"/>
      <c r="B58" s="20"/>
      <c r="C58" s="36"/>
    </row>
    <row r="59" spans="1:3" ht="12.75">
      <c r="A59" s="21"/>
      <c r="B59" s="22"/>
      <c r="C59" s="18"/>
    </row>
    <row r="60" spans="1:6" s="26" customFormat="1" ht="12.75">
      <c r="A60" s="23" t="s">
        <v>113</v>
      </c>
      <c r="B60" s="38" t="s">
        <v>114</v>
      </c>
      <c r="C60" s="39">
        <f>SUM(C52:C59)</f>
        <v>2227850.04</v>
      </c>
      <c r="F60" s="70"/>
    </row>
    <row r="61" spans="1:3" ht="12.75">
      <c r="A61" s="21"/>
      <c r="B61" s="22"/>
      <c r="C61" s="18"/>
    </row>
    <row r="62" spans="1:3" ht="12.75">
      <c r="A62" s="19" t="s">
        <v>115</v>
      </c>
      <c r="B62" s="20" t="s">
        <v>116</v>
      </c>
      <c r="C62" s="36"/>
    </row>
    <row r="63" spans="1:3" ht="12.75">
      <c r="A63" s="19" t="s">
        <v>117</v>
      </c>
      <c r="B63" s="20" t="s">
        <v>60</v>
      </c>
      <c r="C63" s="148">
        <f>-'Lista de Saldos IM'!E81-'Lista de Saldos IM'!E114</f>
        <v>8974622.96</v>
      </c>
    </row>
    <row r="64" spans="1:3" ht="12.75">
      <c r="A64" s="19" t="s">
        <v>118</v>
      </c>
      <c r="B64" s="20" t="s">
        <v>119</v>
      </c>
      <c r="C64" s="36"/>
    </row>
    <row r="65" spans="1:3" ht="12.75">
      <c r="A65" s="19" t="s">
        <v>120</v>
      </c>
      <c r="B65" s="20" t="s">
        <v>121</v>
      </c>
      <c r="C65" s="36"/>
    </row>
    <row r="66" spans="1:3" ht="12.75">
      <c r="A66" s="19" t="s">
        <v>122</v>
      </c>
      <c r="B66" s="20" t="s">
        <v>123</v>
      </c>
      <c r="C66" s="36"/>
    </row>
    <row r="67" spans="1:4" ht="12.75">
      <c r="A67" s="19"/>
      <c r="B67" s="20" t="s">
        <v>288</v>
      </c>
      <c r="C67" s="148">
        <f>-'Lista de Saldos IM'!E65</f>
        <v>544464.1</v>
      </c>
      <c r="D67" s="29"/>
    </row>
    <row r="68" spans="1:3" ht="12.75">
      <c r="A68" s="21"/>
      <c r="B68" s="22" t="s">
        <v>241</v>
      </c>
      <c r="C68" s="18">
        <f>-'Lista de Saldos IM'!E83</f>
        <v>974183.07</v>
      </c>
    </row>
    <row r="69" spans="1:6" s="26" customFormat="1" ht="12.75">
      <c r="A69" s="23" t="s">
        <v>124</v>
      </c>
      <c r="B69" s="38" t="s">
        <v>125</v>
      </c>
      <c r="C69" s="39">
        <f>SUM(C60:C68)</f>
        <v>12721120.17</v>
      </c>
      <c r="F69" s="70"/>
    </row>
    <row r="70" spans="1:3" ht="12.75">
      <c r="A70" s="21"/>
      <c r="B70" s="22"/>
      <c r="C70" s="18"/>
    </row>
    <row r="71" spans="1:5" ht="12.75">
      <c r="A71" s="19" t="s">
        <v>126</v>
      </c>
      <c r="B71" s="20" t="s">
        <v>59</v>
      </c>
      <c r="C71" s="36">
        <f>-'Lista de Saldos IM'!E80</f>
        <v>3764205.34</v>
      </c>
      <c r="E71" s="29"/>
    </row>
    <row r="72" spans="1:3" ht="12.75">
      <c r="A72" s="21"/>
      <c r="B72" s="22"/>
      <c r="C72" s="18"/>
    </row>
    <row r="73" spans="1:3" ht="12.75">
      <c r="A73" s="16"/>
      <c r="B73" s="17" t="s">
        <v>127</v>
      </c>
      <c r="C73" s="18"/>
    </row>
    <row r="74" spans="1:3" ht="12.75">
      <c r="A74" s="21"/>
      <c r="B74" s="22"/>
      <c r="C74" s="18"/>
    </row>
    <row r="75" spans="1:4" ht="12.75">
      <c r="A75" s="19" t="s">
        <v>128</v>
      </c>
      <c r="B75" s="20" t="s">
        <v>61</v>
      </c>
      <c r="C75" s="36">
        <f>-'Lista de Saldos IM'!E82</f>
        <v>2301697</v>
      </c>
      <c r="D75" s="65"/>
    </row>
    <row r="76" spans="1:3" ht="12.75">
      <c r="A76" s="19" t="s">
        <v>129</v>
      </c>
      <c r="B76" s="20" t="s">
        <v>130</v>
      </c>
      <c r="C76" s="36"/>
    </row>
    <row r="77" spans="1:4" ht="12.75">
      <c r="A77" s="19" t="s">
        <v>131</v>
      </c>
      <c r="B77" s="20" t="s">
        <v>62</v>
      </c>
      <c r="C77" s="107">
        <f>-'Lista de Saldos IM'!E88+'Lista de Saldos IM'!E87</f>
        <v>536582.02</v>
      </c>
      <c r="D77" s="29"/>
    </row>
    <row r="78" spans="1:4" ht="12.75">
      <c r="A78" s="19" t="s">
        <v>132</v>
      </c>
      <c r="B78" s="20" t="s">
        <v>133</v>
      </c>
      <c r="C78" s="36">
        <f>-'Lista de Saldos IM'!E91</f>
        <v>163297.87</v>
      </c>
      <c r="D78" s="65"/>
    </row>
    <row r="79" spans="1:5" ht="12.75">
      <c r="A79" s="19" t="s">
        <v>134</v>
      </c>
      <c r="B79" s="20" t="s">
        <v>63</v>
      </c>
      <c r="C79" s="107">
        <f>-'Lista de Saldos IM'!E89-'Lista de Saldos IM'!E87-'Lista de Saldos IM'!E92</f>
        <v>1423132.52</v>
      </c>
      <c r="E79" s="29"/>
    </row>
    <row r="80" spans="1:5" ht="12.75">
      <c r="A80" s="19" t="s">
        <v>135</v>
      </c>
      <c r="B80" s="20" t="s">
        <v>136</v>
      </c>
      <c r="C80" s="36">
        <f>+D125</f>
        <v>282373.51</v>
      </c>
      <c r="E80" s="29"/>
    </row>
    <row r="81" spans="1:6" s="26" customFormat="1" ht="12.75">
      <c r="A81" s="23" t="s">
        <v>137</v>
      </c>
      <c r="B81" s="38" t="s">
        <v>138</v>
      </c>
      <c r="C81" s="39">
        <f>SUM(C75:C80)</f>
        <v>4707082.92</v>
      </c>
      <c r="F81" s="70"/>
    </row>
    <row r="82" spans="1:3" ht="12.75">
      <c r="A82" s="21"/>
      <c r="B82" s="22"/>
      <c r="C82" s="18"/>
    </row>
    <row r="83" spans="1:7" s="26" customFormat="1" ht="12.75">
      <c r="A83" s="23" t="s">
        <v>139</v>
      </c>
      <c r="B83" s="38" t="s">
        <v>140</v>
      </c>
      <c r="C83" s="39">
        <f>C69+C71+C81</f>
        <v>21192408.43</v>
      </c>
      <c r="D83" s="69"/>
      <c r="E83" s="69"/>
      <c r="F83" s="70"/>
      <c r="G83" s="70"/>
    </row>
    <row r="84" spans="1:3" ht="13.5" thickBot="1">
      <c r="A84" s="30"/>
      <c r="B84" s="31"/>
      <c r="C84" s="32"/>
    </row>
    <row r="85" s="22" customFormat="1" ht="12.75">
      <c r="F85" s="75"/>
    </row>
    <row r="86" spans="3:6" s="22" customFormat="1" ht="13.5" thickBot="1">
      <c r="C86" s="40">
        <f>C44-C83</f>
        <v>0</v>
      </c>
      <c r="F86" s="75"/>
    </row>
    <row r="87" spans="3:6" s="22" customFormat="1" ht="25.5">
      <c r="C87" s="73" t="s">
        <v>207</v>
      </c>
      <c r="D87" s="194" t="s">
        <v>206</v>
      </c>
      <c r="F87" s="75"/>
    </row>
    <row r="88" spans="3:6" s="22" customFormat="1" ht="5.25" customHeight="1" thickBot="1">
      <c r="C88" s="58"/>
      <c r="D88" s="195"/>
      <c r="F88" s="75"/>
    </row>
    <row r="89" spans="1:4" ht="12.75">
      <c r="A89" s="41"/>
      <c r="B89" s="42" t="s">
        <v>147</v>
      </c>
      <c r="C89" s="43"/>
      <c r="D89" s="43"/>
    </row>
    <row r="90" spans="1:4" ht="12.75">
      <c r="A90" s="44"/>
      <c r="B90" s="45"/>
      <c r="C90" s="46"/>
      <c r="D90" s="46"/>
    </row>
    <row r="91" spans="1:7" ht="12.75">
      <c r="A91" s="47" t="s">
        <v>148</v>
      </c>
      <c r="B91" s="48" t="s">
        <v>149</v>
      </c>
      <c r="C91" s="36">
        <f>-'Lista de Saldos IM'!G95</f>
        <v>40811.66</v>
      </c>
      <c r="D91" s="36">
        <f>-'Lista de Saldos IM'!E95</f>
        <v>150253.31</v>
      </c>
      <c r="G91" s="65"/>
    </row>
    <row r="92" spans="1:7" ht="12.75">
      <c r="A92" s="47" t="s">
        <v>150</v>
      </c>
      <c r="B92" s="48" t="s">
        <v>151</v>
      </c>
      <c r="C92" s="36">
        <f>-'Lista de Saldos IM'!G96</f>
        <v>231322.46</v>
      </c>
      <c r="D92" s="36">
        <f>-'Lista de Saldos IM'!E96</f>
        <v>925289.84</v>
      </c>
      <c r="G92" s="65"/>
    </row>
    <row r="93" spans="1:7" ht="12.75">
      <c r="A93" s="47" t="s">
        <v>152</v>
      </c>
      <c r="B93" s="49" t="s">
        <v>153</v>
      </c>
      <c r="C93" s="36"/>
      <c r="D93" s="36"/>
      <c r="G93" s="65"/>
    </row>
    <row r="94" spans="1:7" ht="12.75">
      <c r="A94" s="47" t="s">
        <v>154</v>
      </c>
      <c r="B94" s="48" t="s">
        <v>155</v>
      </c>
      <c r="C94" s="36">
        <f>-'Lista de Saldos IM'!G97</f>
        <v>0</v>
      </c>
      <c r="D94" s="36">
        <f>-'Lista de Saldos IM'!E97</f>
        <v>0</v>
      </c>
      <c r="G94" s="65"/>
    </row>
    <row r="95" spans="1:7" ht="12.75">
      <c r="A95" s="47" t="s">
        <v>156</v>
      </c>
      <c r="B95" s="49" t="s">
        <v>157</v>
      </c>
      <c r="C95" s="50"/>
      <c r="D95" s="50"/>
      <c r="G95" s="65"/>
    </row>
    <row r="96" spans="1:7" s="53" customFormat="1" ht="12.75">
      <c r="A96" s="51" t="s">
        <v>158</v>
      </c>
      <c r="B96" s="52" t="s">
        <v>159</v>
      </c>
      <c r="C96" s="39">
        <f>SUM(C91:C95)</f>
        <v>272134.12</v>
      </c>
      <c r="D96" s="39">
        <f>SUM(D91:D95)</f>
        <v>1075543.15</v>
      </c>
      <c r="F96" s="65"/>
      <c r="G96" s="74"/>
    </row>
    <row r="97" spans="1:7" s="53" customFormat="1" ht="12.75">
      <c r="A97" s="51"/>
      <c r="B97" s="54"/>
      <c r="C97" s="25"/>
      <c r="D97" s="25"/>
      <c r="F97" s="65"/>
      <c r="G97" s="74"/>
    </row>
    <row r="98" spans="1:7" s="22" customFormat="1" ht="12.75">
      <c r="A98" s="47">
        <v>107</v>
      </c>
      <c r="B98" s="48" t="s">
        <v>160</v>
      </c>
      <c r="C98" s="36">
        <f>+'Lista de Saldos IM'!G98</f>
        <v>78395.33</v>
      </c>
      <c r="D98" s="36">
        <f>+'Lista de Saldos IM'!E98</f>
        <v>316246.83</v>
      </c>
      <c r="F98" s="65"/>
      <c r="G98" s="75"/>
    </row>
    <row r="99" spans="1:7" s="22" customFormat="1" ht="12.75">
      <c r="A99" s="47">
        <v>108</v>
      </c>
      <c r="B99" s="48" t="s">
        <v>161</v>
      </c>
      <c r="C99" s="36">
        <f>+'Lista de Saldos IM'!G105+'Lista de Saldos IM'!G106+'Lista de Saldos IM'!G107</f>
        <v>11011.529999999999</v>
      </c>
      <c r="D99" s="36">
        <f>+'Lista de Saldos IM'!E105+'Lista de Saldos IM'!E106+'Lista de Saldos IM'!E107</f>
        <v>43886.42</v>
      </c>
      <c r="F99" s="65"/>
      <c r="G99" s="75"/>
    </row>
    <row r="100" spans="1:7" s="22" customFormat="1" ht="12.75">
      <c r="A100" s="47"/>
      <c r="B100" s="48" t="s">
        <v>162</v>
      </c>
      <c r="C100" s="36">
        <f>+'Lista de Saldos IM'!G99+'Lista de Saldos IM'!G100+'Lista de Saldos IM'!G101+'Lista de Saldos IM'!G102+'Lista de Saldos IM'!G104+'Lista de Saldos IM'!G103</f>
        <v>73023</v>
      </c>
      <c r="D100" s="36">
        <f>+'Lista de Saldos IM'!E99+'Lista de Saldos IM'!E100+'Lista de Saldos IM'!E101+'Lista de Saldos IM'!E102+'Lista de Saldos IM'!E104+'Lista de Saldos IM'!E103</f>
        <v>292902.16</v>
      </c>
      <c r="F100" s="65"/>
      <c r="G100" s="75"/>
    </row>
    <row r="101" spans="1:7" s="22" customFormat="1" ht="12.75">
      <c r="A101" s="47">
        <v>109</v>
      </c>
      <c r="B101" s="49" t="s">
        <v>163</v>
      </c>
      <c r="C101" s="36">
        <f>+'Lista de Saldos IM'!G115+'Lista de Saldos IM'!G116</f>
        <v>12101.23</v>
      </c>
      <c r="D101" s="36">
        <f>+'Lista de Saldos IM'!E115+'Lista de Saldos IM'!E116</f>
        <v>48870.880000000005</v>
      </c>
      <c r="F101" s="65"/>
      <c r="G101" s="75"/>
    </row>
    <row r="102" spans="1:7" s="53" customFormat="1" ht="12.75">
      <c r="A102" s="51">
        <v>110</v>
      </c>
      <c r="B102" s="54" t="s">
        <v>164</v>
      </c>
      <c r="C102" s="37">
        <f>SUM(C98:C101)</f>
        <v>174531.09</v>
      </c>
      <c r="D102" s="37">
        <f>SUM(D98:D101)</f>
        <v>701906.2899999999</v>
      </c>
      <c r="F102" s="65"/>
      <c r="G102" s="74"/>
    </row>
    <row r="103" spans="1:7" s="53" customFormat="1" ht="12.75">
      <c r="A103" s="51"/>
      <c r="B103" s="54"/>
      <c r="C103" s="50"/>
      <c r="D103" s="50"/>
      <c r="F103" s="65"/>
      <c r="G103" s="74"/>
    </row>
    <row r="104" spans="1:7" s="53" customFormat="1" ht="12.75">
      <c r="A104" s="51">
        <v>111</v>
      </c>
      <c r="B104" s="52" t="s">
        <v>165</v>
      </c>
      <c r="C104" s="39">
        <f>C96-C102</f>
        <v>97603.03</v>
      </c>
      <c r="D104" s="39">
        <f>D96-D102</f>
        <v>373636.86</v>
      </c>
      <c r="F104" s="65"/>
      <c r="G104" s="74"/>
    </row>
    <row r="105" spans="1:7" s="53" customFormat="1" ht="12.75">
      <c r="A105" s="51"/>
      <c r="B105" s="54"/>
      <c r="C105" s="50"/>
      <c r="D105" s="50"/>
      <c r="F105" s="65"/>
      <c r="G105" s="74"/>
    </row>
    <row r="106" spans="1:7" s="22" customFormat="1" ht="12.75">
      <c r="A106" s="47">
        <v>112</v>
      </c>
      <c r="B106" s="49" t="s">
        <v>166</v>
      </c>
      <c r="C106" s="36">
        <f>+'Lista de Saldos IM'!G135+'Lista de Saldos IM'!G117</f>
        <v>10623.29</v>
      </c>
      <c r="D106" s="171">
        <f>+'Lista de Saldos IM'!E135+'Lista de Saldos IM'!E117</f>
        <v>37175.49</v>
      </c>
      <c r="F106" s="65"/>
      <c r="G106" s="75"/>
    </row>
    <row r="107" spans="1:7" s="22" customFormat="1" ht="12.75">
      <c r="A107" s="47">
        <v>113</v>
      </c>
      <c r="B107" s="49" t="s">
        <v>167</v>
      </c>
      <c r="C107" s="36">
        <f>+'Lista de Saldos IM'!G108+'Lista de Saldos IM'!G109</f>
        <v>-18.19</v>
      </c>
      <c r="D107" s="171">
        <f>+'Lista de Saldos IM'!E108+'Lista de Saldos IM'!E109</f>
        <v>0</v>
      </c>
      <c r="F107" s="65"/>
      <c r="G107" s="75"/>
    </row>
    <row r="108" spans="1:7" s="22" customFormat="1" ht="12.75">
      <c r="A108" s="47">
        <v>114</v>
      </c>
      <c r="B108" s="49" t="s">
        <v>168</v>
      </c>
      <c r="C108" s="36"/>
      <c r="D108" s="36"/>
      <c r="F108" s="65"/>
      <c r="G108" s="75"/>
    </row>
    <row r="109" spans="1:7" s="53" customFormat="1" ht="12.75">
      <c r="A109" s="55">
        <v>115</v>
      </c>
      <c r="B109" s="56" t="s">
        <v>169</v>
      </c>
      <c r="C109" s="37">
        <f>SUM(C106:C108)</f>
        <v>10605.1</v>
      </c>
      <c r="D109" s="37">
        <f>SUM(D106:D108)</f>
        <v>37175.49</v>
      </c>
      <c r="F109" s="65"/>
      <c r="G109" s="74"/>
    </row>
    <row r="110" spans="1:7" s="53" customFormat="1" ht="12.75">
      <c r="A110" s="55"/>
      <c r="B110" s="56"/>
      <c r="C110" s="50"/>
      <c r="D110" s="50"/>
      <c r="F110" s="65"/>
      <c r="G110" s="74"/>
    </row>
    <row r="111" spans="1:7" s="53" customFormat="1" ht="12.75">
      <c r="A111" s="55">
        <v>116</v>
      </c>
      <c r="B111" s="57" t="s">
        <v>170</v>
      </c>
      <c r="C111" s="39">
        <f>C104-C109</f>
        <v>86997.93</v>
      </c>
      <c r="D111" s="39">
        <f>D104-D109</f>
        <v>336461.37</v>
      </c>
      <c r="F111" s="65"/>
      <c r="G111" s="74"/>
    </row>
    <row r="112" spans="1:7" s="53" customFormat="1" ht="12.75">
      <c r="A112" s="55"/>
      <c r="B112" s="56"/>
      <c r="C112" s="50"/>
      <c r="D112" s="50"/>
      <c r="F112" s="65"/>
      <c r="G112" s="74"/>
    </row>
    <row r="113" spans="1:7" s="22" customFormat="1" ht="12.75">
      <c r="A113" s="47">
        <v>117</v>
      </c>
      <c r="B113" s="49" t="s">
        <v>171</v>
      </c>
      <c r="C113" s="36">
        <f>+'Lista de Saldos IM'!G110</f>
        <v>-2783.98</v>
      </c>
      <c r="D113" s="36">
        <f>+'Lista de Saldos IM'!E110</f>
        <v>557.8</v>
      </c>
      <c r="F113" s="65"/>
      <c r="G113" s="75"/>
    </row>
    <row r="114" spans="1:7" s="22" customFormat="1" ht="12.75">
      <c r="A114" s="47">
        <v>118</v>
      </c>
      <c r="B114" s="49" t="s">
        <v>172</v>
      </c>
      <c r="C114" s="36"/>
      <c r="D114" s="36"/>
      <c r="F114" s="65"/>
      <c r="G114" s="75"/>
    </row>
    <row r="115" spans="1:7" s="22" customFormat="1" ht="12.75">
      <c r="A115" s="47"/>
      <c r="B115" s="49"/>
      <c r="C115" s="50"/>
      <c r="D115" s="50"/>
      <c r="F115" s="65"/>
      <c r="G115" s="75"/>
    </row>
    <row r="116" spans="1:7" s="53" customFormat="1" ht="12.75">
      <c r="A116" s="55">
        <v>119</v>
      </c>
      <c r="B116" s="56" t="s">
        <v>173</v>
      </c>
      <c r="C116" s="37">
        <f>C111-C113-C114</f>
        <v>89781.90999999999</v>
      </c>
      <c r="D116" s="37">
        <f>D111-D113-D114</f>
        <v>335903.57</v>
      </c>
      <c r="F116" s="65"/>
      <c r="G116" s="74"/>
    </row>
    <row r="117" spans="1:7" s="53" customFormat="1" ht="12.75">
      <c r="A117" s="55"/>
      <c r="B117" s="56"/>
      <c r="C117" s="50"/>
      <c r="D117" s="50"/>
      <c r="F117" s="65"/>
      <c r="G117" s="74"/>
    </row>
    <row r="118" spans="1:7" s="22" customFormat="1" ht="12.75">
      <c r="A118" s="47">
        <v>120</v>
      </c>
      <c r="B118" s="49" t="s">
        <v>174</v>
      </c>
      <c r="C118" s="36">
        <f>+'Lista de Saldos IM'!G111</f>
        <v>14929.24</v>
      </c>
      <c r="D118" s="36">
        <f>+'Lista de Saldos IM'!E111</f>
        <v>53530.06</v>
      </c>
      <c r="E118" s="75"/>
      <c r="F118" s="65"/>
      <c r="G118" s="75"/>
    </row>
    <row r="119" spans="1:7" s="22" customFormat="1" ht="12.75">
      <c r="A119" s="47"/>
      <c r="B119" s="49" t="s">
        <v>287</v>
      </c>
      <c r="C119" s="36">
        <f>+'Lista de Saldos IM'!G113</f>
        <v>0</v>
      </c>
      <c r="D119" s="36">
        <f>+'Lista de Saldos IM'!E113</f>
        <v>0</v>
      </c>
      <c r="F119" s="65"/>
      <c r="G119" s="75"/>
    </row>
    <row r="120" spans="1:7" s="22" customFormat="1" ht="12.75">
      <c r="A120" s="47"/>
      <c r="B120" s="49"/>
      <c r="C120" s="50"/>
      <c r="D120" s="50"/>
      <c r="F120" s="65"/>
      <c r="G120" s="75"/>
    </row>
    <row r="121" spans="1:7" s="53" customFormat="1" ht="12.75">
      <c r="A121" s="55">
        <v>122</v>
      </c>
      <c r="B121" s="57" t="s">
        <v>175</v>
      </c>
      <c r="C121" s="39">
        <f>C116-C118-C119</f>
        <v>74852.66999999998</v>
      </c>
      <c r="D121" s="39">
        <f>D116-D118-D119</f>
        <v>282373.51</v>
      </c>
      <c r="F121" s="65"/>
      <c r="G121" s="74"/>
    </row>
    <row r="122" spans="1:7" s="53" customFormat="1" ht="12.75">
      <c r="A122" s="55"/>
      <c r="B122" s="49"/>
      <c r="C122" s="39"/>
      <c r="D122" s="39"/>
      <c r="F122" s="65"/>
      <c r="G122" s="74"/>
    </row>
    <row r="123" spans="1:7" s="53" customFormat="1" ht="12.75">
      <c r="A123" s="55"/>
      <c r="B123" s="49" t="s">
        <v>199</v>
      </c>
      <c r="C123" s="39">
        <f>+'Lista de Saldos IM'!G112</f>
        <v>0</v>
      </c>
      <c r="D123" s="39">
        <f>+'Lista de Saldos IM'!E112</f>
        <v>0</v>
      </c>
      <c r="F123" s="65"/>
      <c r="G123" s="74"/>
    </row>
    <row r="124" spans="1:7" s="53" customFormat="1" ht="12.75">
      <c r="A124" s="55"/>
      <c r="B124" s="49"/>
      <c r="C124" s="39"/>
      <c r="D124" s="39"/>
      <c r="F124" s="65"/>
      <c r="G124" s="74"/>
    </row>
    <row r="125" spans="1:7" ht="13.5" thickBot="1">
      <c r="A125" s="58"/>
      <c r="B125" s="66" t="s">
        <v>200</v>
      </c>
      <c r="C125" s="67">
        <f>+C121-C123</f>
        <v>74852.66999999998</v>
      </c>
      <c r="D125" s="67">
        <f>+D121-D123</f>
        <v>282373.51</v>
      </c>
      <c r="E125" s="29"/>
      <c r="G125" s="65"/>
    </row>
    <row r="126" ht="12.75">
      <c r="D126" s="65"/>
    </row>
    <row r="127" spans="3:4" ht="12.75">
      <c r="C127" s="29"/>
      <c r="D127" s="65"/>
    </row>
    <row r="128" ht="12.75">
      <c r="C128" s="29"/>
    </row>
    <row r="129" ht="12.75">
      <c r="C129" s="29"/>
    </row>
  </sheetData>
  <sheetProtection/>
  <mergeCells count="4">
    <mergeCell ref="A2:C2"/>
    <mergeCell ref="A3:C3"/>
    <mergeCell ref="A4:C4"/>
    <mergeCell ref="D87:D88"/>
  </mergeCell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13.57421875" style="0" customWidth="1"/>
    <col min="2" max="2" width="44.57421875" style="0" bestFit="1" customWidth="1"/>
    <col min="3" max="3" width="12.28125" style="0" bestFit="1" customWidth="1"/>
  </cols>
  <sheetData>
    <row r="2" spans="1:3" ht="15">
      <c r="A2" s="152">
        <v>2121000000</v>
      </c>
      <c r="B2" t="s">
        <v>345</v>
      </c>
      <c r="C2" s="81">
        <v>4022.35</v>
      </c>
    </row>
    <row r="3" spans="1:3" ht="15">
      <c r="A3" s="152">
        <v>2121000000</v>
      </c>
      <c r="B3" t="s">
        <v>227</v>
      </c>
      <c r="C3" s="64">
        <v>403147.84</v>
      </c>
    </row>
    <row r="4" spans="1:3" ht="15">
      <c r="A4" s="152"/>
      <c r="B4" s="150" t="s">
        <v>31</v>
      </c>
      <c r="C4" s="113">
        <f>SUM(C2:C3)</f>
        <v>407170.19</v>
      </c>
    </row>
    <row r="5" spans="1:3" ht="15">
      <c r="A5" s="152"/>
      <c r="B5" s="2"/>
      <c r="C5" s="3"/>
    </row>
    <row r="6" spans="1:3" ht="15">
      <c r="A6" s="152">
        <v>2122000000</v>
      </c>
      <c r="B6" t="s">
        <v>300</v>
      </c>
      <c r="C6" s="145">
        <v>75000</v>
      </c>
    </row>
    <row r="7" spans="1:3" ht="15">
      <c r="A7" s="146"/>
      <c r="B7" s="150" t="s">
        <v>291</v>
      </c>
      <c r="C7" s="113">
        <v>75000</v>
      </c>
    </row>
    <row r="10" spans="1:3" ht="15">
      <c r="A10" s="146">
        <v>2133200000</v>
      </c>
      <c r="B10" s="2" t="s">
        <v>32</v>
      </c>
      <c r="C10" s="3">
        <v>860.53</v>
      </c>
    </row>
    <row r="11" spans="1:3" ht="15">
      <c r="A11" s="146">
        <v>2137000000</v>
      </c>
      <c r="B11" s="2" t="s">
        <v>33</v>
      </c>
      <c r="C11" s="3">
        <v>35998.4</v>
      </c>
    </row>
    <row r="12" spans="1:3" ht="15">
      <c r="A12" s="146">
        <v>2140000000</v>
      </c>
      <c r="B12" s="2" t="s">
        <v>34</v>
      </c>
      <c r="C12" s="3">
        <v>34722.11</v>
      </c>
    </row>
    <row r="13" spans="1:3" ht="15">
      <c r="A13" s="146">
        <v>2134130000</v>
      </c>
      <c r="B13" s="2" t="s">
        <v>331</v>
      </c>
      <c r="C13" s="3">
        <v>0</v>
      </c>
    </row>
    <row r="14" spans="1:3" ht="15">
      <c r="A14" s="142"/>
      <c r="C14" s="145"/>
    </row>
    <row r="15" spans="1:3" ht="15">
      <c r="A15" s="152">
        <v>2180200000</v>
      </c>
      <c r="B15" t="s">
        <v>371</v>
      </c>
      <c r="C15" s="145">
        <v>13.62</v>
      </c>
    </row>
    <row r="16" spans="1:3" ht="15">
      <c r="A16" s="152">
        <v>2180200000</v>
      </c>
      <c r="B16" t="s">
        <v>370</v>
      </c>
      <c r="C16" s="145">
        <v>520.02</v>
      </c>
    </row>
    <row r="17" spans="1:3" ht="15">
      <c r="A17" s="152">
        <v>2180200000</v>
      </c>
      <c r="B17" t="s">
        <v>369</v>
      </c>
      <c r="C17" s="145">
        <v>210</v>
      </c>
    </row>
    <row r="18" spans="1:3" ht="15">
      <c r="A18" s="152">
        <v>2180200000</v>
      </c>
      <c r="B18" t="s">
        <v>368</v>
      </c>
      <c r="C18" s="145">
        <v>56466.37</v>
      </c>
    </row>
    <row r="19" spans="1:3" ht="15">
      <c r="A19" s="146">
        <v>2180200000</v>
      </c>
      <c r="B19" s="2" t="s">
        <v>289</v>
      </c>
      <c r="C19" s="3">
        <v>57210.01</v>
      </c>
    </row>
    <row r="20" spans="1:3" ht="15">
      <c r="A20" s="142"/>
      <c r="C20" s="145"/>
    </row>
    <row r="21" spans="1:3" ht="15">
      <c r="A21" s="146">
        <v>2134020000</v>
      </c>
      <c r="B21" s="2" t="s">
        <v>354</v>
      </c>
      <c r="C21" s="3">
        <v>340</v>
      </c>
    </row>
    <row r="22" spans="1:3" ht="15">
      <c r="A22" s="146">
        <v>2134060000</v>
      </c>
      <c r="B22" s="2" t="s">
        <v>355</v>
      </c>
      <c r="C22" s="3">
        <v>340</v>
      </c>
    </row>
    <row r="23" spans="1:3" ht="15">
      <c r="A23" s="146">
        <v>2134080000</v>
      </c>
      <c r="B23" s="2" t="s">
        <v>356</v>
      </c>
      <c r="C23" s="3">
        <v>27.06</v>
      </c>
    </row>
    <row r="24" spans="1:3" ht="15">
      <c r="A24" s="146">
        <v>2134160000</v>
      </c>
      <c r="B24" s="2" t="s">
        <v>357</v>
      </c>
      <c r="C24" s="3">
        <v>123.06</v>
      </c>
    </row>
    <row r="25" spans="2:3" ht="15">
      <c r="B25" s="150" t="s">
        <v>57</v>
      </c>
      <c r="C25" s="153">
        <f>+C10+C11+C12+C19+C21+C22+C23+C24</f>
        <v>129621.17000000001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0" workbookViewId="0" topLeftCell="A105">
      <selection activeCell="D121" sqref="D121"/>
    </sheetView>
  </sheetViews>
  <sheetFormatPr defaultColWidth="11.421875" defaultRowHeight="15"/>
  <sheetData>
    <row r="1" ht="15">
      <c r="A1" t="s">
        <v>245</v>
      </c>
    </row>
    <row r="36" ht="15">
      <c r="A36" t="s">
        <v>246</v>
      </c>
    </row>
    <row r="71" ht="15">
      <c r="A71" t="s">
        <v>244</v>
      </c>
    </row>
    <row r="103" ht="15">
      <c r="B103" t="s">
        <v>242</v>
      </c>
    </row>
    <row r="104" ht="15">
      <c r="B104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346"/>
  <sheetViews>
    <sheetView zoomScalePageLayoutView="0" workbookViewId="0" topLeftCell="A1">
      <pane xSplit="6045" topLeftCell="B1" activePane="topRight" state="split"/>
      <selection pane="topLeft" activeCell="C28" sqref="C28:C34"/>
      <selection pane="topRight" activeCell="E7" sqref="E7:G135"/>
    </sheetView>
  </sheetViews>
  <sheetFormatPr defaultColWidth="11.421875" defaultRowHeight="15"/>
  <cols>
    <col min="1" max="1" width="37.57421875" style="0" bestFit="1" customWidth="1"/>
    <col min="2" max="2" width="4.421875" style="0" bestFit="1" customWidth="1"/>
    <col min="3" max="3" width="12.00390625" style="142" bestFit="1" customWidth="1"/>
    <col min="4" max="4" width="44.57421875" style="0" bestFit="1" customWidth="1"/>
    <col min="5" max="5" width="17.8515625" style="116" bestFit="1" customWidth="1"/>
    <col min="6" max="7" width="16.57421875" style="116" customWidth="1"/>
    <col min="8" max="8" width="5.7109375" style="0" customWidth="1"/>
    <col min="9" max="9" width="11.00390625" style="0" bestFit="1" customWidth="1"/>
    <col min="10" max="10" width="44.57421875" style="0" bestFit="1" customWidth="1"/>
    <col min="11" max="11" width="17.8515625" style="114" bestFit="1" customWidth="1"/>
    <col min="12" max="12" width="16.57421875" style="114" customWidth="1"/>
    <col min="13" max="13" width="16.57421875" style="170" customWidth="1"/>
    <col min="14" max="14" width="16.57421875" style="145" customWidth="1"/>
    <col min="16" max="16" width="16.8515625" style="140" bestFit="1" customWidth="1"/>
    <col min="17" max="17" width="13.8515625" style="132" bestFit="1" customWidth="1"/>
    <col min="18" max="18" width="13.8515625" style="131" bestFit="1" customWidth="1"/>
    <col min="19" max="19" width="13.8515625" style="124" bestFit="1" customWidth="1"/>
    <col min="20" max="20" width="12.28125" style="124" bestFit="1" customWidth="1"/>
    <col min="21" max="21" width="16.8515625" style="140" bestFit="1" customWidth="1"/>
  </cols>
  <sheetData>
    <row r="6" spans="1:21" s="2" customFormat="1" ht="15">
      <c r="A6" s="2" t="s">
        <v>176</v>
      </c>
      <c r="B6" s="2" t="s">
        <v>0</v>
      </c>
      <c r="C6" s="146" t="s">
        <v>201</v>
      </c>
      <c r="D6" s="72" t="s">
        <v>202</v>
      </c>
      <c r="E6" s="3" t="s">
        <v>208</v>
      </c>
      <c r="F6" s="3" t="s">
        <v>210</v>
      </c>
      <c r="G6" s="3" t="s">
        <v>209</v>
      </c>
      <c r="I6" s="2" t="s">
        <v>247</v>
      </c>
      <c r="J6" s="2" t="s">
        <v>248</v>
      </c>
      <c r="K6" s="3" t="s">
        <v>249</v>
      </c>
      <c r="L6" s="3" t="s">
        <v>250</v>
      </c>
      <c r="M6" s="3" t="s">
        <v>251</v>
      </c>
      <c r="N6" s="3"/>
      <c r="P6" s="141"/>
      <c r="Q6" s="3"/>
      <c r="R6" s="3"/>
      <c r="S6" s="3"/>
      <c r="T6" s="3"/>
      <c r="U6" s="141"/>
    </row>
    <row r="7" spans="1:18" ht="15">
      <c r="A7" t="s">
        <v>44</v>
      </c>
      <c r="B7">
        <v>139</v>
      </c>
      <c r="C7" s="142">
        <v>1111200000</v>
      </c>
      <c r="D7" t="s">
        <v>1</v>
      </c>
      <c r="E7" s="170">
        <v>160</v>
      </c>
      <c r="F7" s="170">
        <v>160</v>
      </c>
      <c r="G7" s="170">
        <v>0</v>
      </c>
      <c r="I7">
        <v>1111200000</v>
      </c>
      <c r="J7" t="s">
        <v>1</v>
      </c>
      <c r="K7" s="144">
        <v>160</v>
      </c>
      <c r="L7" s="170">
        <v>160</v>
      </c>
      <c r="M7" s="170">
        <v>0</v>
      </c>
      <c r="N7" s="145">
        <f>+C7-I7</f>
        <v>0</v>
      </c>
      <c r="O7">
        <v>1111200000</v>
      </c>
      <c r="P7" s="140">
        <v>1111200000</v>
      </c>
      <c r="R7" s="132"/>
    </row>
    <row r="8" spans="1:18" ht="15">
      <c r="A8" t="s">
        <v>44</v>
      </c>
      <c r="B8">
        <v>139</v>
      </c>
      <c r="C8" s="142">
        <v>1113000000</v>
      </c>
      <c r="D8" t="s">
        <v>324</v>
      </c>
      <c r="E8" s="170"/>
      <c r="F8" s="170"/>
      <c r="G8" s="170"/>
      <c r="I8">
        <v>1113000000</v>
      </c>
      <c r="J8" t="s">
        <v>324</v>
      </c>
      <c r="K8" s="170"/>
      <c r="L8" s="170"/>
      <c r="N8" s="145">
        <f aca="true" t="shared" si="0" ref="N8:N80">+C8-I8</f>
        <v>0</v>
      </c>
      <c r="O8">
        <v>1113000000</v>
      </c>
      <c r="P8" s="140">
        <v>1113000000</v>
      </c>
      <c r="Q8" s="144"/>
      <c r="R8" s="144"/>
    </row>
    <row r="9" spans="1:18" ht="15">
      <c r="A9" t="s">
        <v>44</v>
      </c>
      <c r="B9">
        <v>139</v>
      </c>
      <c r="E9" s="170"/>
      <c r="F9" s="170"/>
      <c r="G9" s="170"/>
      <c r="K9" s="170"/>
      <c r="L9" s="170"/>
      <c r="N9" s="166"/>
      <c r="Q9" s="144"/>
      <c r="R9" s="144"/>
    </row>
    <row r="10" spans="1:18" ht="15">
      <c r="A10" t="s">
        <v>44</v>
      </c>
      <c r="B10">
        <v>139</v>
      </c>
      <c r="E10" s="170"/>
      <c r="F10" s="170"/>
      <c r="G10" s="170"/>
      <c r="K10" s="170"/>
      <c r="L10" s="170"/>
      <c r="N10" s="166"/>
      <c r="Q10" s="144"/>
      <c r="R10" s="144"/>
    </row>
    <row r="11" spans="1:18" ht="15">
      <c r="A11" t="s">
        <v>44</v>
      </c>
      <c r="B11">
        <v>139</v>
      </c>
      <c r="E11" s="170"/>
      <c r="F11" s="170"/>
      <c r="G11" s="170"/>
      <c r="K11" s="170"/>
      <c r="L11" s="170"/>
      <c r="N11" s="166"/>
      <c r="Q11" s="144"/>
      <c r="R11" s="144"/>
    </row>
    <row r="12" spans="1:18" ht="15">
      <c r="A12" t="s">
        <v>44</v>
      </c>
      <c r="B12">
        <v>139</v>
      </c>
      <c r="E12" s="170"/>
      <c r="F12" s="170"/>
      <c r="G12" s="170"/>
      <c r="K12" s="170"/>
      <c r="L12" s="170"/>
      <c r="N12" s="166"/>
      <c r="Q12" s="144"/>
      <c r="R12" s="144"/>
    </row>
    <row r="13" spans="1:18" ht="15">
      <c r="A13" t="s">
        <v>44</v>
      </c>
      <c r="B13">
        <v>139</v>
      </c>
      <c r="E13" s="170"/>
      <c r="F13" s="170"/>
      <c r="G13" s="170"/>
      <c r="K13" s="170"/>
      <c r="L13" s="170"/>
      <c r="N13" s="166"/>
      <c r="Q13" s="144"/>
      <c r="R13" s="144"/>
    </row>
    <row r="14" spans="1:18" ht="15">
      <c r="A14" t="s">
        <v>44</v>
      </c>
      <c r="B14">
        <v>139</v>
      </c>
      <c r="E14" s="170"/>
      <c r="F14" s="170"/>
      <c r="G14" s="170"/>
      <c r="K14" s="170"/>
      <c r="L14" s="170"/>
      <c r="N14" s="166"/>
      <c r="Q14" s="144"/>
      <c r="R14" s="144"/>
    </row>
    <row r="15" spans="1:18" ht="15">
      <c r="A15" t="s">
        <v>44</v>
      </c>
      <c r="B15">
        <v>139</v>
      </c>
      <c r="C15" s="142">
        <v>1112100191</v>
      </c>
      <c r="D15" t="s">
        <v>2</v>
      </c>
      <c r="E15" s="170">
        <v>42271.72</v>
      </c>
      <c r="F15" s="170">
        <v>42271.72</v>
      </c>
      <c r="G15" s="170">
        <v>0</v>
      </c>
      <c r="I15">
        <v>1112100191</v>
      </c>
      <c r="J15" t="s">
        <v>2</v>
      </c>
      <c r="K15" s="170">
        <v>42271.72</v>
      </c>
      <c r="L15" s="170">
        <v>42271.72</v>
      </c>
      <c r="M15" s="170">
        <v>0</v>
      </c>
      <c r="N15" s="166">
        <f t="shared" si="0"/>
        <v>0</v>
      </c>
      <c r="O15">
        <v>1112100191</v>
      </c>
      <c r="P15" s="140">
        <v>1112100191</v>
      </c>
      <c r="Q15" s="144"/>
      <c r="R15" s="144"/>
    </row>
    <row r="16" spans="1:18" ht="15">
      <c r="A16" t="s">
        <v>44</v>
      </c>
      <c r="B16">
        <v>139</v>
      </c>
      <c r="C16" s="142">
        <v>1112100192</v>
      </c>
      <c r="D16" t="s">
        <v>211</v>
      </c>
      <c r="E16" s="170"/>
      <c r="F16" s="170"/>
      <c r="G16" s="170"/>
      <c r="I16">
        <v>1112100192</v>
      </c>
      <c r="J16" t="s">
        <v>211</v>
      </c>
      <c r="K16" s="170"/>
      <c r="L16" s="170"/>
      <c r="N16" s="166">
        <f t="shared" si="0"/>
        <v>0</v>
      </c>
      <c r="O16">
        <v>1112100192</v>
      </c>
      <c r="P16" s="140">
        <v>1112100192</v>
      </c>
      <c r="Q16" s="144"/>
      <c r="R16" s="144"/>
    </row>
    <row r="17" spans="1:18" ht="15">
      <c r="A17" t="s">
        <v>44</v>
      </c>
      <c r="B17">
        <v>139</v>
      </c>
      <c r="C17" s="142">
        <v>1112100193</v>
      </c>
      <c r="D17" t="s">
        <v>3</v>
      </c>
      <c r="E17" s="170">
        <v>251421.34</v>
      </c>
      <c r="F17" s="170">
        <v>189466.33</v>
      </c>
      <c r="G17" s="170">
        <v>61955.01</v>
      </c>
      <c r="I17">
        <v>1112100193</v>
      </c>
      <c r="J17" t="s">
        <v>3</v>
      </c>
      <c r="K17" s="170">
        <v>251421.34</v>
      </c>
      <c r="L17" s="170">
        <v>189466.33</v>
      </c>
      <c r="M17" s="170">
        <v>61955.01</v>
      </c>
      <c r="N17" s="166">
        <f t="shared" si="0"/>
        <v>0</v>
      </c>
      <c r="O17">
        <v>1112100193</v>
      </c>
      <c r="P17" s="140">
        <v>1112100193</v>
      </c>
      <c r="Q17" s="144"/>
      <c r="R17" s="144"/>
    </row>
    <row r="18" spans="1:18" ht="15">
      <c r="A18" t="s">
        <v>44</v>
      </c>
      <c r="B18">
        <v>139</v>
      </c>
      <c r="C18" s="142">
        <v>1112100196</v>
      </c>
      <c r="D18" t="s">
        <v>4</v>
      </c>
      <c r="E18" s="170">
        <v>-150173.46</v>
      </c>
      <c r="F18" s="170">
        <v>-55106</v>
      </c>
      <c r="G18" s="170">
        <v>-95067.46</v>
      </c>
      <c r="I18">
        <v>1112100196</v>
      </c>
      <c r="J18" t="s">
        <v>4</v>
      </c>
      <c r="K18" s="170">
        <v>-150173.46</v>
      </c>
      <c r="L18" s="170">
        <v>-55106</v>
      </c>
      <c r="M18" s="170">
        <v>-95067.46</v>
      </c>
      <c r="N18" s="166">
        <f t="shared" si="0"/>
        <v>0</v>
      </c>
      <c r="O18">
        <v>1112100196</v>
      </c>
      <c r="P18" s="140">
        <v>1112100196</v>
      </c>
      <c r="Q18" s="144"/>
      <c r="R18" s="144"/>
    </row>
    <row r="19" spans="1:18" ht="15">
      <c r="A19" t="s">
        <v>44</v>
      </c>
      <c r="B19">
        <v>139</v>
      </c>
      <c r="C19" s="142">
        <v>1112100197</v>
      </c>
      <c r="D19" t="s">
        <v>5</v>
      </c>
      <c r="E19" s="170">
        <v>-125149.04</v>
      </c>
      <c r="F19" s="170">
        <v>-105162.04</v>
      </c>
      <c r="G19" s="170">
        <v>-19987</v>
      </c>
      <c r="I19">
        <v>1112100197</v>
      </c>
      <c r="J19" t="s">
        <v>5</v>
      </c>
      <c r="K19" s="170">
        <v>-125149.04</v>
      </c>
      <c r="L19" s="170">
        <v>-105162.04</v>
      </c>
      <c r="M19" s="170">
        <v>-19987</v>
      </c>
      <c r="N19" s="166">
        <f t="shared" si="0"/>
        <v>0</v>
      </c>
      <c r="O19">
        <v>1112100197</v>
      </c>
      <c r="P19" s="140">
        <v>1112100197</v>
      </c>
      <c r="Q19" s="144"/>
      <c r="R19" s="144"/>
    </row>
    <row r="20" spans="1:18" ht="15">
      <c r="A20" t="s">
        <v>44</v>
      </c>
      <c r="B20">
        <v>139</v>
      </c>
      <c r="C20" s="142">
        <v>1112100201</v>
      </c>
      <c r="D20" t="s">
        <v>6</v>
      </c>
      <c r="E20" s="170">
        <v>79435.14</v>
      </c>
      <c r="F20" s="170">
        <v>79435.14</v>
      </c>
      <c r="G20" s="170">
        <v>0</v>
      </c>
      <c r="I20">
        <v>1112100201</v>
      </c>
      <c r="J20" t="s">
        <v>6</v>
      </c>
      <c r="K20" s="170">
        <v>79435.14</v>
      </c>
      <c r="L20" s="170">
        <v>79435.14</v>
      </c>
      <c r="M20" s="170">
        <v>0</v>
      </c>
      <c r="N20" s="166">
        <f t="shared" si="0"/>
        <v>0</v>
      </c>
      <c r="O20">
        <v>1112100201</v>
      </c>
      <c r="P20" s="140">
        <v>1112100201</v>
      </c>
      <c r="Q20" s="144"/>
      <c r="R20" s="144"/>
    </row>
    <row r="21" spans="1:18" ht="15">
      <c r="A21" t="s">
        <v>44</v>
      </c>
      <c r="B21">
        <v>139</v>
      </c>
      <c r="C21" s="142">
        <v>1112100203</v>
      </c>
      <c r="D21" t="s">
        <v>7</v>
      </c>
      <c r="E21" s="170">
        <v>116276.72</v>
      </c>
      <c r="F21" s="170">
        <v>73422.22</v>
      </c>
      <c r="G21" s="170">
        <v>42854.5</v>
      </c>
      <c r="I21">
        <v>1112100203</v>
      </c>
      <c r="J21" t="s">
        <v>7</v>
      </c>
      <c r="K21" s="170">
        <v>116276.72</v>
      </c>
      <c r="L21" s="170">
        <v>73422.22</v>
      </c>
      <c r="M21" s="170">
        <v>42854.5</v>
      </c>
      <c r="N21" s="166">
        <f t="shared" si="0"/>
        <v>0</v>
      </c>
      <c r="O21">
        <v>1112100203</v>
      </c>
      <c r="P21" s="140">
        <v>1112100203</v>
      </c>
      <c r="Q21" s="144"/>
      <c r="R21" s="144"/>
    </row>
    <row r="22" spans="1:18" ht="15">
      <c r="A22" t="s">
        <v>44</v>
      </c>
      <c r="B22">
        <v>139</v>
      </c>
      <c r="C22" s="142">
        <v>1112100207</v>
      </c>
      <c r="D22" t="s">
        <v>8</v>
      </c>
      <c r="E22" s="170">
        <v>-151148.15</v>
      </c>
      <c r="F22" s="170">
        <v>-97769.89</v>
      </c>
      <c r="G22" s="170">
        <v>-53378.26</v>
      </c>
      <c r="I22">
        <v>1112100207</v>
      </c>
      <c r="J22" t="s">
        <v>8</v>
      </c>
      <c r="K22" s="170">
        <v>-151148.15</v>
      </c>
      <c r="L22" s="170">
        <v>-97769.89</v>
      </c>
      <c r="M22" s="170">
        <v>-53378.26</v>
      </c>
      <c r="N22" s="166">
        <f t="shared" si="0"/>
        <v>0</v>
      </c>
      <c r="O22">
        <v>1112100207</v>
      </c>
      <c r="P22" s="140">
        <v>1112100207</v>
      </c>
      <c r="Q22" s="144"/>
      <c r="R22" s="144"/>
    </row>
    <row r="23" spans="1:18" ht="15">
      <c r="A23" t="s">
        <v>44</v>
      </c>
      <c r="B23">
        <v>139</v>
      </c>
      <c r="C23" s="142">
        <v>1112100221</v>
      </c>
      <c r="D23" t="s">
        <v>9</v>
      </c>
      <c r="E23" s="170">
        <v>127267.08</v>
      </c>
      <c r="F23" s="170">
        <v>127267.08</v>
      </c>
      <c r="G23" s="170">
        <v>0</v>
      </c>
      <c r="I23">
        <v>1112100221</v>
      </c>
      <c r="J23" t="s">
        <v>9</v>
      </c>
      <c r="K23" s="170">
        <v>127267.08</v>
      </c>
      <c r="L23" s="170">
        <v>127267.08</v>
      </c>
      <c r="M23" s="170">
        <v>0</v>
      </c>
      <c r="N23" s="166">
        <f t="shared" si="0"/>
        <v>0</v>
      </c>
      <c r="O23">
        <v>1112100221</v>
      </c>
      <c r="P23" s="140">
        <v>1112100221</v>
      </c>
      <c r="Q23" s="144"/>
      <c r="R23" s="144"/>
    </row>
    <row r="24" spans="1:18" ht="15">
      <c r="A24" t="s">
        <v>44</v>
      </c>
      <c r="B24">
        <v>139</v>
      </c>
      <c r="C24" s="142">
        <v>1112100222</v>
      </c>
      <c r="D24" t="s">
        <v>205</v>
      </c>
      <c r="E24" s="170"/>
      <c r="F24" s="170"/>
      <c r="G24" s="170"/>
      <c r="I24">
        <v>1112100222</v>
      </c>
      <c r="J24" t="s">
        <v>205</v>
      </c>
      <c r="K24" s="170"/>
      <c r="L24" s="170"/>
      <c r="N24" s="166">
        <f t="shared" si="0"/>
        <v>0</v>
      </c>
      <c r="O24">
        <v>1112100222</v>
      </c>
      <c r="P24" s="140">
        <v>1112100222</v>
      </c>
      <c r="Q24" s="144"/>
      <c r="R24" s="144"/>
    </row>
    <row r="25" spans="1:18" ht="15">
      <c r="A25" t="s">
        <v>44</v>
      </c>
      <c r="B25">
        <v>139</v>
      </c>
      <c r="C25" s="142">
        <v>1112100223</v>
      </c>
      <c r="D25" t="s">
        <v>10</v>
      </c>
      <c r="E25" s="170">
        <v>334940.52</v>
      </c>
      <c r="F25" s="170">
        <v>257689.14</v>
      </c>
      <c r="G25" s="170">
        <v>77251.38</v>
      </c>
      <c r="I25">
        <v>1112100223</v>
      </c>
      <c r="J25" t="s">
        <v>10</v>
      </c>
      <c r="K25" s="170">
        <v>334940.52</v>
      </c>
      <c r="L25" s="170">
        <v>257689.14</v>
      </c>
      <c r="M25" s="170">
        <v>77251.38</v>
      </c>
      <c r="N25" s="166">
        <f t="shared" si="0"/>
        <v>0</v>
      </c>
      <c r="O25">
        <v>1112100223</v>
      </c>
      <c r="P25" s="140">
        <v>1112100223</v>
      </c>
      <c r="Q25" s="144"/>
      <c r="R25" s="144"/>
    </row>
    <row r="26" spans="1:18" ht="15">
      <c r="A26" t="s">
        <v>44</v>
      </c>
      <c r="B26">
        <v>139</v>
      </c>
      <c r="C26" s="142">
        <v>1112100226</v>
      </c>
      <c r="D26" t="s">
        <v>11</v>
      </c>
      <c r="E26" s="170">
        <v>-324817</v>
      </c>
      <c r="F26" s="170">
        <v>-266171.64</v>
      </c>
      <c r="G26" s="170">
        <v>-58645.36</v>
      </c>
      <c r="I26">
        <v>1112100226</v>
      </c>
      <c r="J26" t="s">
        <v>11</v>
      </c>
      <c r="K26" s="170">
        <v>-324817</v>
      </c>
      <c r="L26" s="170">
        <v>-266171.64</v>
      </c>
      <c r="M26" s="170">
        <v>-58645.36</v>
      </c>
      <c r="N26" s="166">
        <f t="shared" si="0"/>
        <v>0</v>
      </c>
      <c r="O26">
        <v>1112100226</v>
      </c>
      <c r="P26" s="140">
        <v>1112100226</v>
      </c>
      <c r="Q26" s="144"/>
      <c r="R26" s="144"/>
    </row>
    <row r="27" spans="1:18" ht="15">
      <c r="A27" t="s">
        <v>44</v>
      </c>
      <c r="B27">
        <v>139</v>
      </c>
      <c r="C27" s="142">
        <v>1112100227</v>
      </c>
      <c r="D27" t="s">
        <v>12</v>
      </c>
      <c r="E27" s="170">
        <v>-110438.51</v>
      </c>
      <c r="F27" s="170">
        <v>-82838.51</v>
      </c>
      <c r="G27" s="170">
        <v>-27600</v>
      </c>
      <c r="I27">
        <v>1112100227</v>
      </c>
      <c r="J27" t="s">
        <v>12</v>
      </c>
      <c r="K27" s="170">
        <v>-110438.51</v>
      </c>
      <c r="L27" s="170">
        <v>-82838.51</v>
      </c>
      <c r="M27" s="170">
        <v>-27600</v>
      </c>
      <c r="N27" s="166">
        <f t="shared" si="0"/>
        <v>0</v>
      </c>
      <c r="O27">
        <v>1112100227</v>
      </c>
      <c r="P27" s="140">
        <v>1112100227</v>
      </c>
      <c r="Q27" s="144"/>
      <c r="R27" s="144"/>
    </row>
    <row r="28" spans="3:20" ht="15">
      <c r="C28">
        <v>1112100331</v>
      </c>
      <c r="D28" t="s">
        <v>425</v>
      </c>
      <c r="E28" s="170">
        <v>92.09</v>
      </c>
      <c r="F28" s="170">
        <v>92.09</v>
      </c>
      <c r="G28" s="170">
        <v>0</v>
      </c>
      <c r="I28">
        <v>1112100331</v>
      </c>
      <c r="J28" t="s">
        <v>425</v>
      </c>
      <c r="K28" s="170">
        <v>92.09</v>
      </c>
      <c r="L28" s="170">
        <v>92.09</v>
      </c>
      <c r="M28" s="170">
        <v>0</v>
      </c>
      <c r="N28" s="169">
        <f t="shared" si="0"/>
        <v>0</v>
      </c>
      <c r="O28" s="147"/>
      <c r="P28" s="188" t="e">
        <v>#N/A</v>
      </c>
      <c r="Q28" s="169"/>
      <c r="R28" s="169"/>
      <c r="S28" s="169"/>
      <c r="T28" s="169"/>
    </row>
    <row r="29" spans="1:20" ht="15">
      <c r="A29" t="s">
        <v>44</v>
      </c>
      <c r="B29">
        <v>139</v>
      </c>
      <c r="C29" s="142">
        <v>1112100333</v>
      </c>
      <c r="D29" t="s">
        <v>377</v>
      </c>
      <c r="E29" s="170"/>
      <c r="F29" s="170"/>
      <c r="G29" s="170"/>
      <c r="I29" s="142">
        <v>1112100333</v>
      </c>
      <c r="J29" t="s">
        <v>377</v>
      </c>
      <c r="K29" s="170"/>
      <c r="L29" s="170"/>
      <c r="N29" s="166">
        <f t="shared" si="0"/>
        <v>0</v>
      </c>
      <c r="O29" s="147"/>
      <c r="P29" s="140">
        <v>1112100333</v>
      </c>
      <c r="Q29" s="154"/>
      <c r="R29" s="154"/>
      <c r="S29" s="154"/>
      <c r="T29" s="154"/>
    </row>
    <row r="30" spans="1:20" ht="15">
      <c r="A30" t="s">
        <v>44</v>
      </c>
      <c r="B30">
        <v>139</v>
      </c>
      <c r="C30" s="142">
        <v>1112100337</v>
      </c>
      <c r="D30" t="s">
        <v>378</v>
      </c>
      <c r="E30" s="170"/>
      <c r="F30" s="170"/>
      <c r="G30" s="170"/>
      <c r="I30" s="142">
        <v>1112100337</v>
      </c>
      <c r="J30" t="s">
        <v>378</v>
      </c>
      <c r="K30" s="170"/>
      <c r="L30" s="170"/>
      <c r="N30" s="166">
        <f t="shared" si="0"/>
        <v>0</v>
      </c>
      <c r="O30" s="147"/>
      <c r="P30" s="140">
        <v>1112100337</v>
      </c>
      <c r="Q30" s="154"/>
      <c r="R30" s="154"/>
      <c r="S30" s="154"/>
      <c r="T30" s="154"/>
    </row>
    <row r="31" spans="3:20" ht="15">
      <c r="C31">
        <v>1112100341</v>
      </c>
      <c r="D31" t="s">
        <v>425</v>
      </c>
      <c r="E31" s="170">
        <v>11290.23</v>
      </c>
      <c r="F31" s="170">
        <v>11290.23</v>
      </c>
      <c r="G31" s="170">
        <v>0</v>
      </c>
      <c r="I31">
        <v>1112100341</v>
      </c>
      <c r="J31" t="s">
        <v>425</v>
      </c>
      <c r="K31" s="170">
        <v>11290.23</v>
      </c>
      <c r="L31" s="170">
        <v>11290.23</v>
      </c>
      <c r="M31" s="170">
        <v>0</v>
      </c>
      <c r="N31" s="169">
        <f t="shared" si="0"/>
        <v>0</v>
      </c>
      <c r="O31" s="147"/>
      <c r="P31" s="188" t="e">
        <v>#N/A</v>
      </c>
      <c r="Q31" s="169"/>
      <c r="R31" s="169"/>
      <c r="S31" s="169"/>
      <c r="T31" s="169"/>
    </row>
    <row r="32" spans="1:20" ht="15">
      <c r="A32" t="s">
        <v>44</v>
      </c>
      <c r="B32">
        <v>139</v>
      </c>
      <c r="C32" s="142">
        <v>1112100343</v>
      </c>
      <c r="D32" t="s">
        <v>379</v>
      </c>
      <c r="E32" s="170">
        <v>149535.77</v>
      </c>
      <c r="F32" s="170">
        <v>124535.77</v>
      </c>
      <c r="G32" s="170">
        <v>25000</v>
      </c>
      <c r="I32" s="142">
        <v>1112100343</v>
      </c>
      <c r="J32" t="s">
        <v>379</v>
      </c>
      <c r="K32" s="170">
        <v>149535.77</v>
      </c>
      <c r="L32" s="170">
        <v>124535.77</v>
      </c>
      <c r="M32" s="170">
        <v>25000</v>
      </c>
      <c r="N32" s="166">
        <f t="shared" si="0"/>
        <v>0</v>
      </c>
      <c r="O32" s="147"/>
      <c r="P32" s="140">
        <v>1112100343</v>
      </c>
      <c r="Q32" s="154"/>
      <c r="R32" s="154"/>
      <c r="S32" s="154"/>
      <c r="T32" s="154"/>
    </row>
    <row r="33" spans="1:20" ht="15">
      <c r="A33" t="s">
        <v>44</v>
      </c>
      <c r="B33">
        <v>139</v>
      </c>
      <c r="C33" s="156">
        <v>1112100346</v>
      </c>
      <c r="D33" t="s">
        <v>392</v>
      </c>
      <c r="E33" s="170">
        <v>-21652.13</v>
      </c>
      <c r="F33" s="170">
        <v>-21652.13</v>
      </c>
      <c r="G33" s="170">
        <v>0</v>
      </c>
      <c r="I33" s="156">
        <v>1112100346</v>
      </c>
      <c r="J33" t="s">
        <v>392</v>
      </c>
      <c r="K33" s="170">
        <v>-21652.13</v>
      </c>
      <c r="L33" s="170">
        <v>-21652.13</v>
      </c>
      <c r="M33" s="170">
        <v>0</v>
      </c>
      <c r="N33" s="166">
        <f t="shared" si="0"/>
        <v>0</v>
      </c>
      <c r="O33" s="147"/>
      <c r="P33" s="140">
        <v>1112100346</v>
      </c>
      <c r="Q33" s="164"/>
      <c r="R33" s="164"/>
      <c r="S33" s="164"/>
      <c r="T33" s="164"/>
    </row>
    <row r="34" spans="1:20" ht="15">
      <c r="A34" t="s">
        <v>44</v>
      </c>
      <c r="B34">
        <v>139</v>
      </c>
      <c r="C34" s="142">
        <v>1112100347</v>
      </c>
      <c r="D34" t="s">
        <v>380</v>
      </c>
      <c r="E34" s="170">
        <v>-119820.86</v>
      </c>
      <c r="F34" s="170">
        <v>-81744.14</v>
      </c>
      <c r="G34" s="170">
        <v>-38076.72</v>
      </c>
      <c r="I34" s="142">
        <v>1112100347</v>
      </c>
      <c r="J34" t="s">
        <v>380</v>
      </c>
      <c r="K34" s="170">
        <v>-119820.86</v>
      </c>
      <c r="L34" s="170">
        <v>-81744.14</v>
      </c>
      <c r="M34" s="170">
        <v>-38076.72</v>
      </c>
      <c r="N34" s="166">
        <f t="shared" si="0"/>
        <v>0</v>
      </c>
      <c r="O34" s="147"/>
      <c r="P34" s="140">
        <v>1112100347</v>
      </c>
      <c r="Q34" s="154"/>
      <c r="R34" s="154"/>
      <c r="S34" s="154"/>
      <c r="T34" s="154"/>
    </row>
    <row r="35" spans="5:20" ht="15">
      <c r="E35" s="59">
        <f>SUM(E7:E34)</f>
        <v>109491.4600000001</v>
      </c>
      <c r="F35" s="59">
        <f>SUM(F7:F34)</f>
        <v>195185.37</v>
      </c>
      <c r="G35" s="59">
        <f>SUM(G7:G34)</f>
        <v>-85693.91</v>
      </c>
      <c r="K35" s="59">
        <f>SUM(K7:K34)</f>
        <v>109491.4600000001</v>
      </c>
      <c r="L35" s="59">
        <f>SUM(L7:L34)</f>
        <v>195185.37</v>
      </c>
      <c r="M35" s="59">
        <f>SUM(M7:M34)</f>
        <v>-85693.91</v>
      </c>
      <c r="N35" s="166">
        <f t="shared" si="0"/>
        <v>0</v>
      </c>
      <c r="P35" s="140" t="e">
        <v>#N/A</v>
      </c>
      <c r="Q35" s="59"/>
      <c r="R35" s="59"/>
      <c r="S35" s="59"/>
      <c r="T35" s="59"/>
    </row>
    <row r="36" spans="1:18" ht="15">
      <c r="A36" t="s">
        <v>64</v>
      </c>
      <c r="B36">
        <v>139</v>
      </c>
      <c r="C36" s="142">
        <v>1131100000</v>
      </c>
      <c r="D36" t="s">
        <v>13</v>
      </c>
      <c r="E36" s="170">
        <v>284312.63</v>
      </c>
      <c r="F36" s="170">
        <v>277108.61</v>
      </c>
      <c r="G36" s="170">
        <v>7204.02</v>
      </c>
      <c r="I36">
        <v>1131100000</v>
      </c>
      <c r="J36" t="s">
        <v>13</v>
      </c>
      <c r="K36" s="170">
        <v>284312.63</v>
      </c>
      <c r="L36" s="170">
        <v>277108.61</v>
      </c>
      <c r="M36" s="170">
        <v>7204.02</v>
      </c>
      <c r="N36" s="166">
        <f t="shared" si="0"/>
        <v>0</v>
      </c>
      <c r="O36">
        <v>1131100000</v>
      </c>
      <c r="P36" s="140">
        <v>1131100000</v>
      </c>
      <c r="Q36" s="144"/>
      <c r="R36" s="144"/>
    </row>
    <row r="37" spans="1:18" ht="15">
      <c r="A37" t="s">
        <v>45</v>
      </c>
      <c r="B37">
        <v>139</v>
      </c>
      <c r="C37" s="142">
        <v>1132500000</v>
      </c>
      <c r="D37" t="s">
        <v>14</v>
      </c>
      <c r="E37" s="170">
        <v>266336.06</v>
      </c>
      <c r="F37" s="170">
        <v>263747.51</v>
      </c>
      <c r="G37" s="170">
        <v>2588.55</v>
      </c>
      <c r="I37">
        <v>1132500000</v>
      </c>
      <c r="J37" t="s">
        <v>14</v>
      </c>
      <c r="K37" s="170">
        <v>266336.06</v>
      </c>
      <c r="L37" s="170">
        <v>263747.51</v>
      </c>
      <c r="M37" s="170">
        <v>2588.55</v>
      </c>
      <c r="N37" s="166">
        <f t="shared" si="0"/>
        <v>0</v>
      </c>
      <c r="O37">
        <v>1132500000</v>
      </c>
      <c r="P37" s="140">
        <v>1132500000</v>
      </c>
      <c r="Q37" s="144"/>
      <c r="R37" s="144"/>
    </row>
    <row r="38" spans="1:18" ht="15">
      <c r="A38" t="s">
        <v>45</v>
      </c>
      <c r="B38">
        <v>139</v>
      </c>
      <c r="C38" s="142">
        <v>1133210000</v>
      </c>
      <c r="D38" t="s">
        <v>15</v>
      </c>
      <c r="E38" s="170">
        <v>14059.65</v>
      </c>
      <c r="F38" s="170">
        <v>9358.85</v>
      </c>
      <c r="G38" s="170">
        <v>4700.8</v>
      </c>
      <c r="I38">
        <v>1133210000</v>
      </c>
      <c r="J38" t="s">
        <v>15</v>
      </c>
      <c r="K38" s="170">
        <v>14059.65</v>
      </c>
      <c r="L38" s="170">
        <v>9358.85</v>
      </c>
      <c r="M38" s="170">
        <v>4700.8</v>
      </c>
      <c r="N38" s="166">
        <f t="shared" si="0"/>
        <v>0</v>
      </c>
      <c r="O38">
        <v>1133210000</v>
      </c>
      <c r="P38" s="140">
        <v>1133210000</v>
      </c>
      <c r="Q38" s="144"/>
      <c r="R38" s="144"/>
    </row>
    <row r="39" spans="1:18" ht="15">
      <c r="A39" t="s">
        <v>45</v>
      </c>
      <c r="B39">
        <v>139</v>
      </c>
      <c r="C39" s="142">
        <v>1140000000</v>
      </c>
      <c r="D39" t="s">
        <v>16</v>
      </c>
      <c r="E39" s="170"/>
      <c r="F39" s="170"/>
      <c r="G39" s="170"/>
      <c r="I39">
        <v>1140000000</v>
      </c>
      <c r="J39" t="s">
        <v>16</v>
      </c>
      <c r="K39" s="170"/>
      <c r="L39" s="170"/>
      <c r="N39" s="166">
        <f t="shared" si="0"/>
        <v>0</v>
      </c>
      <c r="O39">
        <v>1140000000</v>
      </c>
      <c r="P39" s="140">
        <v>1140000000</v>
      </c>
      <c r="Q39" s="144"/>
      <c r="R39" s="144"/>
    </row>
    <row r="40" spans="1:18" ht="15">
      <c r="A40" t="s">
        <v>45</v>
      </c>
      <c r="B40">
        <v>139</v>
      </c>
      <c r="C40" s="142">
        <v>1141000000</v>
      </c>
      <c r="D40" t="s">
        <v>17</v>
      </c>
      <c r="E40" s="170">
        <v>2691.9</v>
      </c>
      <c r="F40" s="170">
        <v>2656.72</v>
      </c>
      <c r="G40" s="170">
        <v>35.18</v>
      </c>
      <c r="I40">
        <v>1141000000</v>
      </c>
      <c r="J40" t="s">
        <v>17</v>
      </c>
      <c r="K40" s="170">
        <v>2691.9</v>
      </c>
      <c r="L40" s="170">
        <v>2656.72</v>
      </c>
      <c r="M40" s="170">
        <v>35.18</v>
      </c>
      <c r="N40" s="166">
        <f t="shared" si="0"/>
        <v>0</v>
      </c>
      <c r="O40">
        <v>1141000000</v>
      </c>
      <c r="P40" s="140">
        <v>1141000000</v>
      </c>
      <c r="Q40" s="144"/>
      <c r="R40" s="144"/>
    </row>
    <row r="41" spans="5:20" ht="15">
      <c r="E41" s="61">
        <f>SUM(E37:E40)</f>
        <v>283087.61000000004</v>
      </c>
      <c r="F41" s="61">
        <f>SUM(F37:F40)</f>
        <v>275763.07999999996</v>
      </c>
      <c r="G41" s="61">
        <f>SUM(G37:G40)</f>
        <v>7324.530000000001</v>
      </c>
      <c r="K41" s="61">
        <f>SUM(K37:K40)</f>
        <v>283087.61000000004</v>
      </c>
      <c r="L41" s="61">
        <f>SUM(L37:L40)</f>
        <v>275763.07999999996</v>
      </c>
      <c r="M41" s="61">
        <f>SUM(M37:M40)</f>
        <v>7324.530000000001</v>
      </c>
      <c r="N41" s="166">
        <f t="shared" si="0"/>
        <v>0</v>
      </c>
      <c r="P41" s="140" t="e">
        <v>#N/A</v>
      </c>
      <c r="Q41" s="61"/>
      <c r="R41" s="61"/>
      <c r="S41" s="61"/>
      <c r="T41" s="61"/>
    </row>
    <row r="42" spans="1:18" ht="15">
      <c r="A42" t="s">
        <v>46</v>
      </c>
      <c r="B42">
        <v>139</v>
      </c>
      <c r="C42" s="142">
        <v>1151000000</v>
      </c>
      <c r="D42" t="s">
        <v>18</v>
      </c>
      <c r="E42" s="170">
        <v>53663.14</v>
      </c>
      <c r="F42" s="170">
        <v>53663.14</v>
      </c>
      <c r="G42" s="170">
        <v>0</v>
      </c>
      <c r="I42">
        <v>1151000000</v>
      </c>
      <c r="J42" t="s">
        <v>18</v>
      </c>
      <c r="K42" s="170">
        <v>53663.14</v>
      </c>
      <c r="L42" s="170">
        <v>53663.14</v>
      </c>
      <c r="M42" s="170">
        <v>0</v>
      </c>
      <c r="N42" s="166">
        <f t="shared" si="0"/>
        <v>0</v>
      </c>
      <c r="O42">
        <v>1151000000</v>
      </c>
      <c r="P42" s="140">
        <v>1151000000</v>
      </c>
      <c r="Q42" s="144"/>
      <c r="R42" s="144"/>
    </row>
    <row r="43" spans="1:24" ht="15">
      <c r="A43" t="s">
        <v>47</v>
      </c>
      <c r="B43">
        <v>139</v>
      </c>
      <c r="C43" s="142">
        <v>1301100000</v>
      </c>
      <c r="D43" t="s">
        <v>19</v>
      </c>
      <c r="E43" s="170">
        <v>3320394.53</v>
      </c>
      <c r="F43" s="170">
        <v>3320394.53</v>
      </c>
      <c r="G43" s="170">
        <v>0</v>
      </c>
      <c r="I43">
        <v>1301100000</v>
      </c>
      <c r="J43" t="s">
        <v>19</v>
      </c>
      <c r="K43" s="170">
        <v>3320394.53</v>
      </c>
      <c r="L43" s="170">
        <v>3320394.53</v>
      </c>
      <c r="M43" s="170">
        <v>0</v>
      </c>
      <c r="N43" s="166">
        <f t="shared" si="0"/>
        <v>0</v>
      </c>
      <c r="O43">
        <v>1301100000</v>
      </c>
      <c r="P43" s="140">
        <v>1301100000</v>
      </c>
      <c r="Q43" s="144"/>
      <c r="R43" s="144"/>
      <c r="X43" s="144"/>
    </row>
    <row r="44" spans="1:24" ht="15">
      <c r="A44" t="s">
        <v>47</v>
      </c>
      <c r="B44">
        <v>139</v>
      </c>
      <c r="C44" s="142">
        <v>1301200000</v>
      </c>
      <c r="D44" t="s">
        <v>20</v>
      </c>
      <c r="E44" s="170">
        <v>36106.25</v>
      </c>
      <c r="F44" s="170">
        <v>36106.25</v>
      </c>
      <c r="G44" s="170">
        <v>0</v>
      </c>
      <c r="I44">
        <v>1301200000</v>
      </c>
      <c r="J44" t="s">
        <v>20</v>
      </c>
      <c r="K44" s="170">
        <v>36106.25</v>
      </c>
      <c r="L44" s="170">
        <v>36106.25</v>
      </c>
      <c r="M44" s="170">
        <v>0</v>
      </c>
      <c r="N44" s="166">
        <f t="shared" si="0"/>
        <v>0</v>
      </c>
      <c r="O44">
        <v>1301200000</v>
      </c>
      <c r="P44" s="140">
        <v>1301200000</v>
      </c>
      <c r="Q44" s="144"/>
      <c r="R44" s="144"/>
      <c r="X44" s="144"/>
    </row>
    <row r="45" spans="5:24" ht="15">
      <c r="E45" s="113">
        <f>SUM(E43:E44)</f>
        <v>3356500.78</v>
      </c>
      <c r="F45" s="113">
        <f>SUM(F43:F44)</f>
        <v>3356500.78</v>
      </c>
      <c r="G45" s="113">
        <f>SUM(G43:G44)</f>
        <v>0</v>
      </c>
      <c r="K45" s="113">
        <f>SUM(K43:K44)</f>
        <v>3356500.78</v>
      </c>
      <c r="L45" s="113">
        <f>SUM(L43:L44)</f>
        <v>3356500.78</v>
      </c>
      <c r="M45" s="113">
        <f>SUM(M43:M44)</f>
        <v>0</v>
      </c>
      <c r="N45" s="166">
        <f t="shared" si="0"/>
        <v>0</v>
      </c>
      <c r="P45" s="140" t="e">
        <v>#N/A</v>
      </c>
      <c r="Q45" s="113"/>
      <c r="R45" s="113"/>
      <c r="S45" s="113"/>
      <c r="T45" s="113"/>
      <c r="X45" s="144"/>
    </row>
    <row r="46" spans="1:24" ht="15">
      <c r="A46" t="s">
        <v>48</v>
      </c>
      <c r="B46">
        <v>139</v>
      </c>
      <c r="C46" s="142">
        <v>1302100000</v>
      </c>
      <c r="D46" t="s">
        <v>21</v>
      </c>
      <c r="E46" s="170">
        <v>3075886.52</v>
      </c>
      <c r="F46" s="170">
        <v>3075886.52</v>
      </c>
      <c r="G46" s="170">
        <v>0</v>
      </c>
      <c r="I46">
        <v>1302100000</v>
      </c>
      <c r="J46" t="s">
        <v>21</v>
      </c>
      <c r="K46" s="170">
        <v>3075886.52</v>
      </c>
      <c r="L46" s="170">
        <v>3075886.52</v>
      </c>
      <c r="M46" s="170">
        <v>0</v>
      </c>
      <c r="N46" s="166">
        <f t="shared" si="0"/>
        <v>0</v>
      </c>
      <c r="O46">
        <v>1302100000</v>
      </c>
      <c r="P46" s="140">
        <v>1302100000</v>
      </c>
      <c r="Q46" s="144"/>
      <c r="R46" s="144"/>
      <c r="X46" s="144"/>
    </row>
    <row r="47" spans="1:24" ht="15">
      <c r="A47" t="s">
        <v>48</v>
      </c>
      <c r="B47">
        <v>139</v>
      </c>
      <c r="C47" s="142">
        <v>1302200000</v>
      </c>
      <c r="D47" t="s">
        <v>22</v>
      </c>
      <c r="E47" s="170">
        <v>852180.3</v>
      </c>
      <c r="F47" s="170">
        <v>852180.3</v>
      </c>
      <c r="G47" s="170">
        <v>0</v>
      </c>
      <c r="I47">
        <v>1302200000</v>
      </c>
      <c r="J47" t="s">
        <v>22</v>
      </c>
      <c r="K47" s="170">
        <v>852180.3</v>
      </c>
      <c r="L47" s="170">
        <v>852180.3</v>
      </c>
      <c r="M47" s="170">
        <v>0</v>
      </c>
      <c r="N47" s="166">
        <f t="shared" si="0"/>
        <v>0</v>
      </c>
      <c r="O47">
        <v>1302200000</v>
      </c>
      <c r="P47" s="140">
        <v>1302200000</v>
      </c>
      <c r="Q47" s="144"/>
      <c r="R47" s="144"/>
      <c r="X47" s="144"/>
    </row>
    <row r="48" spans="5:24" ht="15">
      <c r="E48" s="59">
        <f>SUM(E46:E47)</f>
        <v>3928066.8200000003</v>
      </c>
      <c r="F48" s="59">
        <f>SUM(F46:F47)</f>
        <v>3928066.8200000003</v>
      </c>
      <c r="G48" s="59">
        <f>SUM(G46:G47)</f>
        <v>0</v>
      </c>
      <c r="K48" s="59">
        <f>SUM(K46:K47)</f>
        <v>3928066.8200000003</v>
      </c>
      <c r="L48" s="59">
        <f>SUM(L46:L47)</f>
        <v>3928066.8200000003</v>
      </c>
      <c r="M48" s="59">
        <f>SUM(M46:M47)</f>
        <v>0</v>
      </c>
      <c r="N48" s="166">
        <f t="shared" si="0"/>
        <v>0</v>
      </c>
      <c r="P48" s="140" t="e">
        <v>#N/A</v>
      </c>
      <c r="Q48" s="59"/>
      <c r="R48" s="59"/>
      <c r="S48" s="59"/>
      <c r="T48" s="59"/>
      <c r="X48" s="144"/>
    </row>
    <row r="49" spans="1:24" ht="15">
      <c r="A49" t="s">
        <v>49</v>
      </c>
      <c r="B49">
        <v>139</v>
      </c>
      <c r="C49" s="142">
        <v>1304100000</v>
      </c>
      <c r="D49" t="s">
        <v>25</v>
      </c>
      <c r="E49" s="170">
        <v>7425725.46</v>
      </c>
      <c r="F49" s="170">
        <v>7425725.46</v>
      </c>
      <c r="G49" s="170">
        <v>0</v>
      </c>
      <c r="I49">
        <v>1304100000</v>
      </c>
      <c r="J49" t="s">
        <v>25</v>
      </c>
      <c r="K49" s="170">
        <v>7425725.46</v>
      </c>
      <c r="L49" s="170">
        <v>7425725.46</v>
      </c>
      <c r="M49" s="170">
        <v>0</v>
      </c>
      <c r="N49" s="166">
        <f t="shared" si="0"/>
        <v>0</v>
      </c>
      <c r="O49">
        <v>1304100000</v>
      </c>
      <c r="P49" s="140">
        <v>1304100000</v>
      </c>
      <c r="Q49" s="144"/>
      <c r="R49" s="144"/>
      <c r="X49" s="144"/>
    </row>
    <row r="50" spans="1:24" ht="15">
      <c r="A50" t="s">
        <v>49</v>
      </c>
      <c r="C50">
        <v>1304500000</v>
      </c>
      <c r="D50" t="s">
        <v>426</v>
      </c>
      <c r="E50" s="170">
        <v>10148.76</v>
      </c>
      <c r="F50" s="170">
        <v>10148.76</v>
      </c>
      <c r="G50" s="170">
        <v>0</v>
      </c>
      <c r="I50">
        <v>1304500000</v>
      </c>
      <c r="J50" t="s">
        <v>426</v>
      </c>
      <c r="K50" s="170">
        <v>10148.76</v>
      </c>
      <c r="L50" s="170">
        <v>10148.76</v>
      </c>
      <c r="M50" s="170">
        <v>0</v>
      </c>
      <c r="N50" s="169">
        <f t="shared" si="0"/>
        <v>0</v>
      </c>
      <c r="O50" s="147"/>
      <c r="P50" s="188" t="e">
        <v>#N/A</v>
      </c>
      <c r="Q50" s="169"/>
      <c r="R50" s="169"/>
      <c r="S50" s="169"/>
      <c r="T50" s="169"/>
      <c r="X50" s="169"/>
    </row>
    <row r="51" spans="3:24" ht="15">
      <c r="C51">
        <v>1304510000</v>
      </c>
      <c r="D51" t="s">
        <v>427</v>
      </c>
      <c r="E51" s="170">
        <v>-8583.79</v>
      </c>
      <c r="F51" s="170">
        <v>-8583.79</v>
      </c>
      <c r="G51" s="170">
        <v>0</v>
      </c>
      <c r="I51">
        <v>1304510000</v>
      </c>
      <c r="J51" t="s">
        <v>427</v>
      </c>
      <c r="K51" s="170">
        <v>-8583.79</v>
      </c>
      <c r="L51" s="170">
        <v>-8583.79</v>
      </c>
      <c r="M51" s="170">
        <v>0</v>
      </c>
      <c r="N51" s="169">
        <f t="shared" si="0"/>
        <v>0</v>
      </c>
      <c r="O51" s="147"/>
      <c r="P51" s="188" t="e">
        <v>#N/A</v>
      </c>
      <c r="Q51" s="169"/>
      <c r="R51" s="169"/>
      <c r="S51" s="169"/>
      <c r="T51" s="169"/>
      <c r="X51" s="169"/>
    </row>
    <row r="52" spans="1:18" ht="15">
      <c r="A52" t="s">
        <v>50</v>
      </c>
      <c r="B52">
        <v>139</v>
      </c>
      <c r="C52" s="142">
        <v>1308100000</v>
      </c>
      <c r="D52" t="s">
        <v>27</v>
      </c>
      <c r="E52" s="170">
        <v>426105.16</v>
      </c>
      <c r="F52" s="170">
        <v>426105.16</v>
      </c>
      <c r="G52" s="170">
        <v>0</v>
      </c>
      <c r="I52">
        <v>1308100000</v>
      </c>
      <c r="J52" t="s">
        <v>27</v>
      </c>
      <c r="K52" s="170">
        <v>426105.16</v>
      </c>
      <c r="L52" s="170">
        <v>426105.16</v>
      </c>
      <c r="M52" s="170">
        <v>0</v>
      </c>
      <c r="N52" s="166">
        <f t="shared" si="0"/>
        <v>0</v>
      </c>
      <c r="O52">
        <v>1308100000</v>
      </c>
      <c r="P52" s="140">
        <v>1308100000</v>
      </c>
      <c r="Q52" s="144"/>
      <c r="R52" s="144"/>
    </row>
    <row r="53" spans="1:22" ht="15">
      <c r="A53" s="130" t="s">
        <v>325</v>
      </c>
      <c r="C53" s="142">
        <v>1309100000</v>
      </c>
      <c r="D53" t="s">
        <v>325</v>
      </c>
      <c r="E53" s="170">
        <v>119214.56</v>
      </c>
      <c r="F53" s="170">
        <v>119214.56</v>
      </c>
      <c r="G53" s="170">
        <v>0</v>
      </c>
      <c r="I53">
        <v>1309100000</v>
      </c>
      <c r="J53" t="s">
        <v>325</v>
      </c>
      <c r="K53" s="170">
        <v>119214.56</v>
      </c>
      <c r="L53" s="170">
        <v>119214.56</v>
      </c>
      <c r="M53" s="170">
        <v>0</v>
      </c>
      <c r="N53" s="166">
        <f t="shared" si="0"/>
        <v>0</v>
      </c>
      <c r="O53">
        <v>1309100000</v>
      </c>
      <c r="P53" s="140">
        <v>1309100000</v>
      </c>
      <c r="Q53" s="144"/>
      <c r="R53" s="144"/>
      <c r="V53" s="143"/>
    </row>
    <row r="54" spans="1:18" ht="15">
      <c r="A54" t="s">
        <v>52</v>
      </c>
      <c r="B54">
        <v>139</v>
      </c>
      <c r="C54" s="142">
        <v>1302310000</v>
      </c>
      <c r="D54" t="s">
        <v>23</v>
      </c>
      <c r="E54" s="170">
        <v>-333225.52</v>
      </c>
      <c r="F54" s="170">
        <v>-326817.52</v>
      </c>
      <c r="G54" s="170">
        <v>-6408</v>
      </c>
      <c r="I54">
        <v>1302310000</v>
      </c>
      <c r="J54" t="s">
        <v>23</v>
      </c>
      <c r="K54" s="170">
        <v>-333225.52</v>
      </c>
      <c r="L54" s="170">
        <v>-326817.52</v>
      </c>
      <c r="M54" s="170">
        <v>-6408</v>
      </c>
      <c r="N54" s="166">
        <f t="shared" si="0"/>
        <v>0</v>
      </c>
      <c r="O54">
        <v>1302310000</v>
      </c>
      <c r="P54" s="140">
        <v>1302310000</v>
      </c>
      <c r="Q54" s="144"/>
      <c r="R54" s="144"/>
    </row>
    <row r="55" spans="1:24" ht="15">
      <c r="A55" t="s">
        <v>52</v>
      </c>
      <c r="B55">
        <v>139</v>
      </c>
      <c r="C55" s="142">
        <v>1302320000</v>
      </c>
      <c r="D55" t="s">
        <v>24</v>
      </c>
      <c r="E55" s="170">
        <v>-92322.3</v>
      </c>
      <c r="F55" s="170">
        <v>-90547.3</v>
      </c>
      <c r="G55" s="170">
        <v>-1775</v>
      </c>
      <c r="I55">
        <v>1302320000</v>
      </c>
      <c r="J55" t="s">
        <v>24</v>
      </c>
      <c r="K55" s="170">
        <v>-92322.3</v>
      </c>
      <c r="L55" s="170">
        <v>-90547.3</v>
      </c>
      <c r="M55" s="170">
        <v>-1775</v>
      </c>
      <c r="N55" s="166">
        <f t="shared" si="0"/>
        <v>0</v>
      </c>
      <c r="O55">
        <v>1302320000</v>
      </c>
      <c r="P55" s="140">
        <v>1302320000</v>
      </c>
      <c r="Q55" s="144"/>
      <c r="R55" s="144"/>
      <c r="X55" s="64"/>
    </row>
    <row r="56" spans="1:24" ht="15">
      <c r="A56" t="s">
        <v>52</v>
      </c>
      <c r="B56">
        <v>139</v>
      </c>
      <c r="C56" s="142">
        <v>1304310000</v>
      </c>
      <c r="D56" t="s">
        <v>26</v>
      </c>
      <c r="E56" s="170">
        <v>-1629076.46</v>
      </c>
      <c r="F56" s="170">
        <v>-1573326.46</v>
      </c>
      <c r="G56" s="170">
        <v>-55750</v>
      </c>
      <c r="I56">
        <v>1304310000</v>
      </c>
      <c r="J56" t="s">
        <v>26</v>
      </c>
      <c r="K56" s="170">
        <v>-1629076.46</v>
      </c>
      <c r="L56" s="170">
        <v>-1573326.46</v>
      </c>
      <c r="M56" s="170">
        <v>-55750</v>
      </c>
      <c r="N56" s="166">
        <f t="shared" si="0"/>
        <v>0</v>
      </c>
      <c r="O56">
        <v>1304310000</v>
      </c>
      <c r="P56" s="140">
        <v>1304310000</v>
      </c>
      <c r="Q56" s="144"/>
      <c r="R56" s="144"/>
      <c r="X56" s="64"/>
    </row>
    <row r="57" spans="1:24" ht="15">
      <c r="A57" t="s">
        <v>52</v>
      </c>
      <c r="C57" s="142">
        <v>1309310000</v>
      </c>
      <c r="D57" t="s">
        <v>327</v>
      </c>
      <c r="E57" s="170">
        <v>-37754.56</v>
      </c>
      <c r="F57" s="170">
        <v>-35767.56</v>
      </c>
      <c r="G57" s="170">
        <v>-1987</v>
      </c>
      <c r="I57" s="142">
        <v>1309310000</v>
      </c>
      <c r="J57" t="s">
        <v>327</v>
      </c>
      <c r="K57" s="170">
        <v>-37754.56</v>
      </c>
      <c r="L57" s="170">
        <v>-35767.56</v>
      </c>
      <c r="M57" s="170">
        <v>-1987</v>
      </c>
      <c r="N57" s="166">
        <f t="shared" si="0"/>
        <v>0</v>
      </c>
      <c r="O57">
        <v>1309310000</v>
      </c>
      <c r="P57" s="140">
        <v>1309310000</v>
      </c>
      <c r="Q57" s="144"/>
      <c r="R57" s="144"/>
      <c r="S57" s="125"/>
      <c r="T57" s="125"/>
      <c r="V57" s="143"/>
      <c r="X57" s="64"/>
    </row>
    <row r="58" spans="1:24" ht="15">
      <c r="A58" t="s">
        <v>52</v>
      </c>
      <c r="B58">
        <v>139</v>
      </c>
      <c r="C58" s="142">
        <v>1308310000</v>
      </c>
      <c r="D58" t="s">
        <v>28</v>
      </c>
      <c r="E58" s="170">
        <v>-285594.16</v>
      </c>
      <c r="F58" s="170">
        <v>-278491.16</v>
      </c>
      <c r="G58" s="170">
        <v>-7103</v>
      </c>
      <c r="I58">
        <v>1308310000</v>
      </c>
      <c r="J58" t="s">
        <v>28</v>
      </c>
      <c r="K58" s="170">
        <v>-285594.16</v>
      </c>
      <c r="L58" s="170">
        <v>-278491.16</v>
      </c>
      <c r="M58" s="170">
        <v>-7103</v>
      </c>
      <c r="N58" s="166">
        <f t="shared" si="0"/>
        <v>0</v>
      </c>
      <c r="O58">
        <v>1308310000</v>
      </c>
      <c r="P58" s="140">
        <v>1308310000</v>
      </c>
      <c r="Q58" s="144"/>
      <c r="R58" s="144"/>
      <c r="X58" s="64"/>
    </row>
    <row r="59" spans="5:24" ht="15">
      <c r="E59" s="62">
        <f>SUM(E54:E58)</f>
        <v>-2377973</v>
      </c>
      <c r="F59" s="62">
        <f>SUM(F54:F58)</f>
        <v>-2304950</v>
      </c>
      <c r="G59" s="62">
        <f>SUM(G54:G58)</f>
        <v>-73023</v>
      </c>
      <c r="K59" s="62">
        <f>SUM(K54:K58)</f>
        <v>-2377973</v>
      </c>
      <c r="L59" s="62">
        <f>SUM(L54:L58)</f>
        <v>-2304950</v>
      </c>
      <c r="M59" s="62">
        <f>SUM(M54:M58)</f>
        <v>-73023</v>
      </c>
      <c r="N59" s="166">
        <f t="shared" si="0"/>
        <v>0</v>
      </c>
      <c r="P59" s="140" t="e">
        <v>#N/A</v>
      </c>
      <c r="Q59" s="62"/>
      <c r="R59" s="62"/>
      <c r="S59" s="62"/>
      <c r="T59" s="62"/>
      <c r="X59" s="64"/>
    </row>
    <row r="60" spans="3:24" ht="15">
      <c r="C60" s="156">
        <v>1531000000</v>
      </c>
      <c r="D60" t="s">
        <v>376</v>
      </c>
      <c r="E60" s="170">
        <v>318443.5</v>
      </c>
      <c r="F60" s="170">
        <v>318443.5</v>
      </c>
      <c r="G60" s="170">
        <v>0</v>
      </c>
      <c r="I60" s="156">
        <v>1531000000</v>
      </c>
      <c r="J60" t="s">
        <v>376</v>
      </c>
      <c r="K60" s="170">
        <v>318443.5</v>
      </c>
      <c r="L60" s="170">
        <v>318443.5</v>
      </c>
      <c r="M60" s="170">
        <v>0</v>
      </c>
      <c r="N60" s="166">
        <f t="shared" si="0"/>
        <v>0</v>
      </c>
      <c r="O60" s="147"/>
      <c r="P60" s="140">
        <v>1531000000</v>
      </c>
      <c r="Q60" s="62"/>
      <c r="R60" s="62"/>
      <c r="S60" s="62"/>
      <c r="T60" s="62"/>
      <c r="X60" s="64"/>
    </row>
    <row r="61" spans="1:24" ht="15">
      <c r="A61" t="s">
        <v>51</v>
      </c>
      <c r="B61">
        <v>139</v>
      </c>
      <c r="C61" s="142">
        <v>1319999999</v>
      </c>
      <c r="D61" t="s">
        <v>321</v>
      </c>
      <c r="E61" s="170"/>
      <c r="F61" s="170"/>
      <c r="G61" s="170"/>
      <c r="I61" s="142">
        <v>1319999999</v>
      </c>
      <c r="J61" t="s">
        <v>321</v>
      </c>
      <c r="K61" s="170"/>
      <c r="L61" s="170"/>
      <c r="N61" s="166">
        <f t="shared" si="0"/>
        <v>0</v>
      </c>
      <c r="O61" s="147"/>
      <c r="P61" s="140">
        <v>1319999999</v>
      </c>
      <c r="Q61" s="144"/>
      <c r="R61" s="144"/>
      <c r="X61" s="64"/>
    </row>
    <row r="62" spans="1:24" ht="15">
      <c r="A62" t="s">
        <v>53</v>
      </c>
      <c r="B62">
        <v>139</v>
      </c>
      <c r="C62" s="142">
        <v>1501000000</v>
      </c>
      <c r="D62" t="s">
        <v>29</v>
      </c>
      <c r="E62" s="170">
        <v>3764205.34</v>
      </c>
      <c r="F62" s="170">
        <v>3835295.41</v>
      </c>
      <c r="G62" s="170">
        <v>-71090.07</v>
      </c>
      <c r="I62">
        <v>1501000000</v>
      </c>
      <c r="J62" t="s">
        <v>29</v>
      </c>
      <c r="K62" s="170">
        <v>3764205.34</v>
      </c>
      <c r="L62" s="170">
        <v>3835295.41</v>
      </c>
      <c r="M62" s="170">
        <v>-71090.07</v>
      </c>
      <c r="N62" s="166">
        <f t="shared" si="0"/>
        <v>0</v>
      </c>
      <c r="O62">
        <v>1501000000</v>
      </c>
      <c r="P62" s="140">
        <v>1501000000</v>
      </c>
      <c r="Q62" s="144"/>
      <c r="R62" s="144"/>
      <c r="X62" s="64"/>
    </row>
    <row r="63" spans="1:18" ht="15">
      <c r="A63" t="s">
        <v>54</v>
      </c>
      <c r="B63">
        <v>139</v>
      </c>
      <c r="C63" s="142">
        <v>2112000000</v>
      </c>
      <c r="D63" t="s">
        <v>30</v>
      </c>
      <c r="E63" s="170">
        <v>-1077620.32</v>
      </c>
      <c r="F63" s="170">
        <v>-1070818.3</v>
      </c>
      <c r="G63" s="170">
        <v>-6802.02</v>
      </c>
      <c r="I63">
        <v>2112000000</v>
      </c>
      <c r="J63" t="s">
        <v>30</v>
      </c>
      <c r="K63" s="170">
        <v>-1077620.32</v>
      </c>
      <c r="L63" s="170">
        <v>-1070818.3</v>
      </c>
      <c r="M63" s="170">
        <v>-6802.02</v>
      </c>
      <c r="N63" s="166">
        <f t="shared" si="0"/>
        <v>0</v>
      </c>
      <c r="O63">
        <v>2112000000</v>
      </c>
      <c r="P63" s="140">
        <v>2112000000</v>
      </c>
      <c r="Q63" s="144"/>
      <c r="R63" s="144"/>
    </row>
    <row r="64" spans="1:18" ht="15">
      <c r="A64" t="s">
        <v>54</v>
      </c>
      <c r="B64">
        <v>139</v>
      </c>
      <c r="C64" s="142">
        <v>2114000000</v>
      </c>
      <c r="D64" t="s">
        <v>284</v>
      </c>
      <c r="E64" s="170">
        <v>-569187.08</v>
      </c>
      <c r="F64" s="170">
        <v>-595709.74</v>
      </c>
      <c r="G64" s="170">
        <v>26522.66</v>
      </c>
      <c r="I64">
        <v>2114000000</v>
      </c>
      <c r="J64" t="s">
        <v>284</v>
      </c>
      <c r="K64" s="170">
        <v>-569187.08</v>
      </c>
      <c r="L64" s="170">
        <v>-595709.74</v>
      </c>
      <c r="M64" s="170">
        <v>26522.66</v>
      </c>
      <c r="N64" s="166">
        <f t="shared" si="0"/>
        <v>0</v>
      </c>
      <c r="O64">
        <v>2114000000</v>
      </c>
      <c r="P64" s="140">
        <v>2114000000</v>
      </c>
      <c r="Q64" s="144"/>
      <c r="R64" s="144"/>
    </row>
    <row r="65" spans="1:18" ht="15">
      <c r="A65" t="s">
        <v>146</v>
      </c>
      <c r="C65" s="142">
        <v>2203000000</v>
      </c>
      <c r="D65" t="s">
        <v>285</v>
      </c>
      <c r="E65" s="170">
        <v>-544464.1</v>
      </c>
      <c r="F65" s="170">
        <v>-575176.79</v>
      </c>
      <c r="G65" s="170">
        <v>30712.69</v>
      </c>
      <c r="I65">
        <v>2203000000</v>
      </c>
      <c r="J65" t="s">
        <v>285</v>
      </c>
      <c r="K65" s="170">
        <v>-544464.1</v>
      </c>
      <c r="L65" s="170">
        <v>-575176.79</v>
      </c>
      <c r="M65" s="170">
        <v>30712.69</v>
      </c>
      <c r="N65" s="166">
        <f t="shared" si="0"/>
        <v>0</v>
      </c>
      <c r="O65">
        <v>2203000000</v>
      </c>
      <c r="P65" s="140">
        <v>2203000000</v>
      </c>
      <c r="Q65" s="144"/>
      <c r="R65" s="144"/>
    </row>
    <row r="66" spans="1:18" ht="15">
      <c r="A66" t="s">
        <v>55</v>
      </c>
      <c r="B66">
        <v>139</v>
      </c>
      <c r="C66" s="142">
        <v>2121000000</v>
      </c>
      <c r="D66" t="s">
        <v>31</v>
      </c>
      <c r="E66" s="170">
        <v>-316909.13</v>
      </c>
      <c r="F66" s="170">
        <v>-337567.49</v>
      </c>
      <c r="G66" s="170">
        <v>20658.36</v>
      </c>
      <c r="I66">
        <v>2121000000</v>
      </c>
      <c r="J66" t="s">
        <v>31</v>
      </c>
      <c r="K66" s="170">
        <v>-316909.13</v>
      </c>
      <c r="L66" s="170">
        <v>-337567.49</v>
      </c>
      <c r="M66" s="170">
        <v>20658.36</v>
      </c>
      <c r="N66" s="166">
        <f t="shared" si="0"/>
        <v>0</v>
      </c>
      <c r="O66">
        <v>2121000000</v>
      </c>
      <c r="P66" s="140">
        <v>2121000000</v>
      </c>
      <c r="Q66" s="144"/>
      <c r="R66" s="144"/>
    </row>
    <row r="67" spans="1:18" ht="15">
      <c r="A67" t="s">
        <v>56</v>
      </c>
      <c r="B67">
        <v>139</v>
      </c>
      <c r="C67" s="142">
        <v>2122000000</v>
      </c>
      <c r="D67" t="s">
        <v>291</v>
      </c>
      <c r="E67" s="170">
        <v>-135000</v>
      </c>
      <c r="F67" s="170">
        <v>-135000</v>
      </c>
      <c r="G67" s="170">
        <v>0</v>
      </c>
      <c r="I67">
        <v>2122000000</v>
      </c>
      <c r="J67" t="s">
        <v>291</v>
      </c>
      <c r="K67" s="170">
        <v>-135000</v>
      </c>
      <c r="L67" s="170">
        <v>-135000</v>
      </c>
      <c r="M67" s="170">
        <v>0</v>
      </c>
      <c r="N67" s="166">
        <f t="shared" si="0"/>
        <v>0</v>
      </c>
      <c r="O67">
        <v>2122000000</v>
      </c>
      <c r="P67" s="140">
        <v>2122000000</v>
      </c>
      <c r="Q67" s="144"/>
      <c r="R67" s="144"/>
    </row>
    <row r="68" spans="3:22" s="63" customFormat="1" ht="15">
      <c r="C68" s="142"/>
      <c r="D68"/>
      <c r="E68" s="170"/>
      <c r="F68" s="170"/>
      <c r="G68" s="170"/>
      <c r="I68"/>
      <c r="J68"/>
      <c r="K68" s="170"/>
      <c r="L68" s="170"/>
      <c r="M68" s="170"/>
      <c r="N68" s="166">
        <f t="shared" si="0"/>
        <v>0</v>
      </c>
      <c r="O68"/>
      <c r="P68" s="140" t="e">
        <v>#N/A</v>
      </c>
      <c r="Q68" s="144"/>
      <c r="R68" s="144"/>
      <c r="S68" s="124"/>
      <c r="T68" s="124"/>
      <c r="U68" s="140"/>
      <c r="V68"/>
    </row>
    <row r="69" spans="1:18" ht="15">
      <c r="A69" t="s">
        <v>57</v>
      </c>
      <c r="B69">
        <v>139</v>
      </c>
      <c r="C69" s="142">
        <v>2133200000</v>
      </c>
      <c r="D69" t="s">
        <v>32</v>
      </c>
      <c r="E69" s="170">
        <v>-1405.2</v>
      </c>
      <c r="F69" s="170">
        <v>-984.43</v>
      </c>
      <c r="G69" s="170">
        <v>-420.77</v>
      </c>
      <c r="I69">
        <v>2133200000</v>
      </c>
      <c r="J69" t="s">
        <v>32</v>
      </c>
      <c r="K69" s="170">
        <v>-1405.2</v>
      </c>
      <c r="L69" s="170">
        <v>-984.43</v>
      </c>
      <c r="M69" s="170">
        <v>-420.77</v>
      </c>
      <c r="N69" s="166">
        <f t="shared" si="0"/>
        <v>0</v>
      </c>
      <c r="O69">
        <v>2133200000</v>
      </c>
      <c r="P69" s="140">
        <v>2133200000</v>
      </c>
      <c r="Q69" s="144"/>
      <c r="R69" s="144"/>
    </row>
    <row r="70" spans="1:18" ht="15">
      <c r="A70" t="s">
        <v>57</v>
      </c>
      <c r="B70">
        <v>139</v>
      </c>
      <c r="C70" s="186">
        <v>2137000000</v>
      </c>
      <c r="D70" s="143" t="s">
        <v>33</v>
      </c>
      <c r="E70" s="170">
        <v>-36662.24</v>
      </c>
      <c r="F70" s="170">
        <v>-37929.2</v>
      </c>
      <c r="G70" s="170">
        <v>1266.96</v>
      </c>
      <c r="I70">
        <v>2137000000</v>
      </c>
      <c r="J70" t="s">
        <v>33</v>
      </c>
      <c r="K70" s="170">
        <v>-36662.24</v>
      </c>
      <c r="L70" s="170">
        <v>-37929.2</v>
      </c>
      <c r="M70" s="170">
        <v>1266.96</v>
      </c>
      <c r="N70" s="166">
        <f t="shared" si="0"/>
        <v>0</v>
      </c>
      <c r="O70">
        <v>2137000000</v>
      </c>
      <c r="P70" s="140">
        <v>2137000000</v>
      </c>
      <c r="Q70" s="144"/>
      <c r="R70" s="144"/>
    </row>
    <row r="71" spans="1:18" ht="15">
      <c r="A71" t="s">
        <v>57</v>
      </c>
      <c r="B71">
        <v>139</v>
      </c>
      <c r="C71" s="142">
        <v>2140000000</v>
      </c>
      <c r="D71" t="s">
        <v>34</v>
      </c>
      <c r="E71" s="170"/>
      <c r="F71" s="170"/>
      <c r="G71" s="170"/>
      <c r="I71">
        <v>2140000000</v>
      </c>
      <c r="J71" t="s">
        <v>34</v>
      </c>
      <c r="K71" s="170"/>
      <c r="L71" s="170"/>
      <c r="N71" s="166">
        <f t="shared" si="0"/>
        <v>0</v>
      </c>
      <c r="O71">
        <v>2140000000</v>
      </c>
      <c r="P71" s="140">
        <v>2140000000</v>
      </c>
      <c r="Q71" s="144"/>
      <c r="R71" s="144"/>
    </row>
    <row r="72" spans="1:18" ht="15">
      <c r="A72" t="s">
        <v>57</v>
      </c>
      <c r="C72" s="142">
        <v>2134130000</v>
      </c>
      <c r="D72" t="s">
        <v>331</v>
      </c>
      <c r="E72" s="170"/>
      <c r="F72" s="170"/>
      <c r="G72" s="170"/>
      <c r="I72" s="1">
        <v>2134130000</v>
      </c>
      <c r="J72" t="s">
        <v>331</v>
      </c>
      <c r="K72" s="170"/>
      <c r="L72" s="170"/>
      <c r="N72" s="166">
        <f t="shared" si="0"/>
        <v>0</v>
      </c>
      <c r="O72">
        <v>2134130000</v>
      </c>
      <c r="P72" s="140">
        <v>2134130000</v>
      </c>
      <c r="Q72" s="144"/>
      <c r="R72" s="144"/>
    </row>
    <row r="73" spans="1:18" ht="15">
      <c r="A73" t="s">
        <v>57</v>
      </c>
      <c r="C73" s="142">
        <v>2180200000</v>
      </c>
      <c r="D73" t="s">
        <v>289</v>
      </c>
      <c r="E73" s="170">
        <v>-33621.91</v>
      </c>
      <c r="F73" s="170">
        <v>-33744.09</v>
      </c>
      <c r="G73" s="170">
        <v>122.18</v>
      </c>
      <c r="I73">
        <v>2180200000</v>
      </c>
      <c r="J73" t="s">
        <v>289</v>
      </c>
      <c r="K73" s="170">
        <v>-33621.91</v>
      </c>
      <c r="L73" s="170">
        <v>-33744.09</v>
      </c>
      <c r="M73" s="170">
        <v>122.18</v>
      </c>
      <c r="N73" s="166">
        <f t="shared" si="0"/>
        <v>0</v>
      </c>
      <c r="O73">
        <v>2180200000</v>
      </c>
      <c r="P73" s="140">
        <v>2180200000</v>
      </c>
      <c r="Q73" s="144"/>
      <c r="R73" s="144"/>
    </row>
    <row r="74" spans="1:20" ht="15">
      <c r="A74" t="s">
        <v>57</v>
      </c>
      <c r="C74" s="142">
        <v>2134020000</v>
      </c>
      <c r="D74" t="s">
        <v>354</v>
      </c>
      <c r="E74" s="170">
        <v>-1608.95</v>
      </c>
      <c r="F74" s="170">
        <v>-1071</v>
      </c>
      <c r="G74" s="170">
        <v>-537.95</v>
      </c>
      <c r="I74" s="142">
        <v>2134020000</v>
      </c>
      <c r="J74" t="s">
        <v>354</v>
      </c>
      <c r="K74" s="170">
        <v>-1608.95</v>
      </c>
      <c r="L74" s="170">
        <v>-1071</v>
      </c>
      <c r="M74" s="170">
        <v>-537.95</v>
      </c>
      <c r="N74" s="166">
        <f t="shared" si="0"/>
        <v>0</v>
      </c>
      <c r="O74" s="147"/>
      <c r="P74" s="140">
        <v>2134020000</v>
      </c>
      <c r="Q74" s="145"/>
      <c r="R74" s="144"/>
      <c r="S74" s="144"/>
      <c r="T74" s="144"/>
    </row>
    <row r="75" spans="1:20" ht="15">
      <c r="A75" t="s">
        <v>57</v>
      </c>
      <c r="C75" s="142">
        <v>2134060000</v>
      </c>
      <c r="D75" t="s">
        <v>355</v>
      </c>
      <c r="E75" s="170">
        <v>-1638.69</v>
      </c>
      <c r="F75" s="170">
        <v>-1071</v>
      </c>
      <c r="G75" s="170">
        <v>-567.69</v>
      </c>
      <c r="I75" s="142">
        <v>2134060000</v>
      </c>
      <c r="J75" t="s">
        <v>355</v>
      </c>
      <c r="K75" s="170">
        <v>-1638.69</v>
      </c>
      <c r="L75" s="170">
        <v>-1071</v>
      </c>
      <c r="M75" s="170">
        <v>-567.69</v>
      </c>
      <c r="N75" s="166">
        <f t="shared" si="0"/>
        <v>0</v>
      </c>
      <c r="O75" s="147"/>
      <c r="P75" s="140">
        <v>2134060000</v>
      </c>
      <c r="Q75" s="145"/>
      <c r="R75" s="144"/>
      <c r="S75" s="144"/>
      <c r="T75" s="144"/>
    </row>
    <row r="76" spans="1:20" ht="15">
      <c r="A76" t="s">
        <v>57</v>
      </c>
      <c r="C76" s="142">
        <v>2134080000</v>
      </c>
      <c r="D76" t="s">
        <v>356</v>
      </c>
      <c r="E76" s="170">
        <v>-72</v>
      </c>
      <c r="F76" s="170">
        <v>-48</v>
      </c>
      <c r="G76" s="170">
        <v>-24</v>
      </c>
      <c r="I76" s="142">
        <v>2134080000</v>
      </c>
      <c r="J76" t="s">
        <v>356</v>
      </c>
      <c r="K76" s="170">
        <v>-72</v>
      </c>
      <c r="L76" s="170">
        <v>-48</v>
      </c>
      <c r="M76" s="170">
        <v>-24</v>
      </c>
      <c r="N76" s="166">
        <f t="shared" si="0"/>
        <v>0</v>
      </c>
      <c r="O76" s="147"/>
      <c r="P76" s="140">
        <v>2134080000</v>
      </c>
      <c r="Q76" s="145"/>
      <c r="R76" s="144"/>
      <c r="S76" s="144"/>
      <c r="T76" s="144"/>
    </row>
    <row r="77" spans="1:20" ht="15">
      <c r="A77" t="s">
        <v>57</v>
      </c>
      <c r="C77" s="142">
        <v>2134160000</v>
      </c>
      <c r="D77" t="s">
        <v>357</v>
      </c>
      <c r="E77" s="170">
        <v>-594.46</v>
      </c>
      <c r="F77" s="170">
        <v>-450.7</v>
      </c>
      <c r="G77" s="170">
        <v>-143.76</v>
      </c>
      <c r="I77" s="142">
        <v>2134160000</v>
      </c>
      <c r="J77" t="s">
        <v>357</v>
      </c>
      <c r="K77" s="170">
        <v>-594.46</v>
      </c>
      <c r="L77" s="170">
        <v>-450.7</v>
      </c>
      <c r="M77" s="170">
        <v>-143.76</v>
      </c>
      <c r="N77" s="166">
        <f t="shared" si="0"/>
        <v>0</v>
      </c>
      <c r="O77" s="147"/>
      <c r="P77" s="140">
        <v>2134160000</v>
      </c>
      <c r="Q77" s="145"/>
      <c r="R77" s="144"/>
      <c r="S77" s="144"/>
      <c r="T77" s="144"/>
    </row>
    <row r="78" spans="5:20" ht="15">
      <c r="E78" s="60">
        <f>SUM(E69:E77)</f>
        <v>-75603.45000000001</v>
      </c>
      <c r="F78" s="60">
        <f>SUM(F69:F77)</f>
        <v>-75298.42</v>
      </c>
      <c r="G78" s="60">
        <f>SUM(G69:G77)</f>
        <v>-305.03</v>
      </c>
      <c r="K78" s="60">
        <f>SUM(K69:K77)</f>
        <v>-75603.45000000001</v>
      </c>
      <c r="L78" s="60">
        <f>SUM(L69:L77)</f>
        <v>-75298.42</v>
      </c>
      <c r="M78" s="60">
        <f>SUM(M69:M77)</f>
        <v>-305.03</v>
      </c>
      <c r="N78" s="166">
        <f t="shared" si="0"/>
        <v>0</v>
      </c>
      <c r="P78" s="140" t="e">
        <v>#N/A</v>
      </c>
      <c r="Q78" s="60"/>
      <c r="R78" s="60"/>
      <c r="S78" s="60"/>
      <c r="T78" s="60"/>
    </row>
    <row r="79" spans="1:18" ht="15">
      <c r="A79" t="s">
        <v>58</v>
      </c>
      <c r="B79">
        <v>139</v>
      </c>
      <c r="C79" s="186">
        <v>2151000000</v>
      </c>
      <c r="D79" s="143" t="s">
        <v>35</v>
      </c>
      <c r="E79" s="170">
        <v>-53530.06</v>
      </c>
      <c r="F79" s="170">
        <v>-109545.84</v>
      </c>
      <c r="G79" s="170">
        <v>56015.78</v>
      </c>
      <c r="I79">
        <v>2151000000</v>
      </c>
      <c r="J79" t="s">
        <v>35</v>
      </c>
      <c r="K79" s="170">
        <v>-53530.06</v>
      </c>
      <c r="L79" s="170">
        <v>-109545.84</v>
      </c>
      <c r="M79" s="170">
        <v>56015.78</v>
      </c>
      <c r="N79" s="166">
        <f t="shared" si="0"/>
        <v>0</v>
      </c>
      <c r="O79">
        <v>2151000000</v>
      </c>
      <c r="P79" s="140">
        <v>2151000000</v>
      </c>
      <c r="Q79" s="144"/>
      <c r="R79" s="144"/>
    </row>
    <row r="80" spans="1:18" ht="15">
      <c r="A80" t="s">
        <v>59</v>
      </c>
      <c r="B80">
        <v>139</v>
      </c>
      <c r="C80" s="142">
        <v>2190000000</v>
      </c>
      <c r="D80" t="s">
        <v>36</v>
      </c>
      <c r="E80" s="170">
        <v>-3764205.34</v>
      </c>
      <c r="F80" s="170">
        <v>-3835295.41</v>
      </c>
      <c r="G80" s="170">
        <v>71090.07</v>
      </c>
      <c r="I80">
        <v>2190000000</v>
      </c>
      <c r="J80" t="s">
        <v>36</v>
      </c>
      <c r="K80" s="170">
        <v>-3764205.34</v>
      </c>
      <c r="L80" s="170">
        <v>-3835295.41</v>
      </c>
      <c r="M80" s="170">
        <v>71090.07</v>
      </c>
      <c r="N80" s="166">
        <f t="shared" si="0"/>
        <v>0</v>
      </c>
      <c r="O80">
        <v>2190000000</v>
      </c>
      <c r="P80" s="140">
        <v>2190000000</v>
      </c>
      <c r="Q80" s="144"/>
      <c r="R80" s="144"/>
    </row>
    <row r="81" spans="1:18" ht="15">
      <c r="A81" t="s">
        <v>60</v>
      </c>
      <c r="B81">
        <v>139</v>
      </c>
      <c r="C81" s="142">
        <v>2201000000</v>
      </c>
      <c r="D81" t="s">
        <v>37</v>
      </c>
      <c r="E81" s="170">
        <v>-8974622.96</v>
      </c>
      <c r="F81" s="170">
        <v>-9066861.55</v>
      </c>
      <c r="G81" s="170">
        <v>92238.59</v>
      </c>
      <c r="I81">
        <v>2201000000</v>
      </c>
      <c r="J81" t="s">
        <v>37</v>
      </c>
      <c r="K81" s="170">
        <v>-8974622.96</v>
      </c>
      <c r="L81" s="170">
        <v>-9066861.55</v>
      </c>
      <c r="M81" s="170">
        <v>92238.59</v>
      </c>
      <c r="N81" s="166">
        <f aca="true" t="shared" si="1" ref="N81:N135">+C81-I81</f>
        <v>0</v>
      </c>
      <c r="O81">
        <v>2201000000</v>
      </c>
      <c r="P81" s="140">
        <v>2201000000</v>
      </c>
      <c r="Q81" s="144"/>
      <c r="R81" s="144"/>
    </row>
    <row r="82" spans="1:18" ht="15">
      <c r="A82" t="s">
        <v>61</v>
      </c>
      <c r="B82">
        <v>139</v>
      </c>
      <c r="C82" s="142">
        <v>2301000000</v>
      </c>
      <c r="D82" t="s">
        <v>38</v>
      </c>
      <c r="E82" s="170">
        <v>-2301697</v>
      </c>
      <c r="F82" s="170">
        <v>-2301697</v>
      </c>
      <c r="G82" s="170">
        <v>0</v>
      </c>
      <c r="I82">
        <v>2301000000</v>
      </c>
      <c r="J82" t="s">
        <v>38</v>
      </c>
      <c r="K82" s="170">
        <v>-2301697</v>
      </c>
      <c r="L82" s="170">
        <v>-2301697</v>
      </c>
      <c r="M82" s="170">
        <v>0</v>
      </c>
      <c r="N82" s="166">
        <f t="shared" si="1"/>
        <v>0</v>
      </c>
      <c r="O82">
        <v>2301000000</v>
      </c>
      <c r="P82" s="140">
        <v>2301000000</v>
      </c>
      <c r="Q82" s="144"/>
      <c r="R82" s="144"/>
    </row>
    <row r="83" spans="3:18" ht="15">
      <c r="C83" s="142">
        <v>2205100000</v>
      </c>
      <c r="D83" t="s">
        <v>237</v>
      </c>
      <c r="E83" s="170">
        <v>-974183.07</v>
      </c>
      <c r="F83" s="170">
        <v>-974183.07</v>
      </c>
      <c r="G83" s="170">
        <v>0</v>
      </c>
      <c r="I83">
        <v>2205100000</v>
      </c>
      <c r="J83" t="s">
        <v>237</v>
      </c>
      <c r="K83" s="170">
        <v>-974183.07</v>
      </c>
      <c r="L83" s="170">
        <v>-974183.07</v>
      </c>
      <c r="M83" s="170">
        <v>0</v>
      </c>
      <c r="N83" s="166">
        <f t="shared" si="1"/>
        <v>0</v>
      </c>
      <c r="O83">
        <v>2205100000</v>
      </c>
      <c r="P83" s="140">
        <v>2205100000</v>
      </c>
      <c r="Q83" s="144"/>
      <c r="R83" s="144"/>
    </row>
    <row r="84" spans="1:18" ht="15">
      <c r="A84" t="s">
        <v>62</v>
      </c>
      <c r="B84">
        <v>139</v>
      </c>
      <c r="C84" s="142">
        <v>2303100000</v>
      </c>
      <c r="D84" t="s">
        <v>39</v>
      </c>
      <c r="E84" s="170">
        <v>-36106.25</v>
      </c>
      <c r="F84" s="170">
        <v>-36106.25</v>
      </c>
      <c r="G84" s="170">
        <v>0</v>
      </c>
      <c r="I84">
        <v>2303100000</v>
      </c>
      <c r="J84" t="s">
        <v>39</v>
      </c>
      <c r="K84" s="170">
        <v>-36106.25</v>
      </c>
      <c r="L84" s="170">
        <v>-36106.25</v>
      </c>
      <c r="M84" s="170">
        <v>0</v>
      </c>
      <c r="N84" s="166">
        <f t="shared" si="1"/>
        <v>0</v>
      </c>
      <c r="O84">
        <v>2303100000</v>
      </c>
      <c r="P84" s="140">
        <v>2303100000</v>
      </c>
      <c r="Q84" s="144"/>
      <c r="R84" s="144"/>
    </row>
    <row r="85" spans="1:18" ht="15">
      <c r="A85" t="s">
        <v>62</v>
      </c>
      <c r="B85">
        <v>139</v>
      </c>
      <c r="C85" s="142">
        <v>2303200000</v>
      </c>
      <c r="D85" t="s">
        <v>40</v>
      </c>
      <c r="E85" s="170">
        <v>-766961.77</v>
      </c>
      <c r="F85" s="170">
        <v>-766961.77</v>
      </c>
      <c r="G85" s="170">
        <v>0</v>
      </c>
      <c r="I85">
        <v>2303200000</v>
      </c>
      <c r="J85" t="s">
        <v>40</v>
      </c>
      <c r="K85" s="170">
        <v>-766961.77</v>
      </c>
      <c r="L85" s="170">
        <v>-766961.77</v>
      </c>
      <c r="M85" s="170">
        <v>0</v>
      </c>
      <c r="N85" s="166">
        <f t="shared" si="1"/>
        <v>0</v>
      </c>
      <c r="O85">
        <v>2303200000</v>
      </c>
      <c r="P85" s="140">
        <v>2303200000</v>
      </c>
      <c r="Q85" s="144"/>
      <c r="R85" s="144"/>
    </row>
    <row r="86" spans="3:18" ht="15">
      <c r="C86" s="142">
        <v>2303250000</v>
      </c>
      <c r="D86" t="s">
        <v>239</v>
      </c>
      <c r="E86" s="170">
        <v>266486</v>
      </c>
      <c r="F86" s="170">
        <v>266486</v>
      </c>
      <c r="G86" s="170">
        <v>0</v>
      </c>
      <c r="I86">
        <v>2303250000</v>
      </c>
      <c r="J86" t="s">
        <v>239</v>
      </c>
      <c r="K86" s="170">
        <v>266486</v>
      </c>
      <c r="L86" s="170">
        <v>266486</v>
      </c>
      <c r="M86" s="170">
        <v>0</v>
      </c>
      <c r="N86" s="166">
        <f t="shared" si="1"/>
        <v>0</v>
      </c>
      <c r="O86">
        <v>2303250000</v>
      </c>
      <c r="P86" s="140">
        <v>2303250000</v>
      </c>
      <c r="Q86" s="144"/>
      <c r="R86" s="144"/>
    </row>
    <row r="87" spans="1:18" ht="15">
      <c r="A87" t="s">
        <v>63</v>
      </c>
      <c r="B87">
        <v>139</v>
      </c>
      <c r="C87" s="142">
        <v>2307450000</v>
      </c>
      <c r="D87" t="s">
        <v>42</v>
      </c>
      <c r="E87" s="170">
        <v>-85218.53</v>
      </c>
      <c r="F87" s="170">
        <v>-85218.53</v>
      </c>
      <c r="G87" s="170">
        <v>0</v>
      </c>
      <c r="I87">
        <v>2307450000</v>
      </c>
      <c r="J87" t="s">
        <v>42</v>
      </c>
      <c r="K87" s="170">
        <v>-85218.53</v>
      </c>
      <c r="L87" s="170">
        <v>-85218.53</v>
      </c>
      <c r="M87" s="170">
        <v>0</v>
      </c>
      <c r="N87" s="166">
        <f t="shared" si="1"/>
        <v>0</v>
      </c>
      <c r="O87">
        <v>2307450000</v>
      </c>
      <c r="P87" s="140">
        <v>2307450000</v>
      </c>
      <c r="Q87" s="144"/>
      <c r="R87" s="144"/>
    </row>
    <row r="88" spans="5:20" ht="15">
      <c r="E88" s="62">
        <f>SUM(E84:E87)</f>
        <v>-621800.55</v>
      </c>
      <c r="F88" s="62">
        <f>SUM(F84:F87)</f>
        <v>-621800.55</v>
      </c>
      <c r="G88" s="62">
        <f>SUM(G84:G87)</f>
        <v>0</v>
      </c>
      <c r="K88" s="62">
        <f>SUM(K84:K87)</f>
        <v>-621800.55</v>
      </c>
      <c r="L88" s="62">
        <f>SUM(L84:L87)</f>
        <v>-621800.55</v>
      </c>
      <c r="M88" s="62">
        <f>SUM(M84:M87)</f>
        <v>0</v>
      </c>
      <c r="N88" s="166">
        <f t="shared" si="1"/>
        <v>0</v>
      </c>
      <c r="P88" s="140" t="e">
        <v>#N/A</v>
      </c>
      <c r="Q88" s="62"/>
      <c r="R88" s="62"/>
      <c r="S88" s="62"/>
      <c r="T88" s="62"/>
    </row>
    <row r="89" spans="1:18" ht="15">
      <c r="A89" t="s">
        <v>63</v>
      </c>
      <c r="B89">
        <v>139</v>
      </c>
      <c r="C89" s="142">
        <v>2307300000</v>
      </c>
      <c r="D89" t="s">
        <v>41</v>
      </c>
      <c r="E89" s="170">
        <v>-1603129.33</v>
      </c>
      <c r="F89" s="170">
        <v>-1603129.33</v>
      </c>
      <c r="G89" s="170">
        <v>0</v>
      </c>
      <c r="I89">
        <v>2307300000</v>
      </c>
      <c r="J89" t="s">
        <v>41</v>
      </c>
      <c r="K89" s="170">
        <v>-1603129.33</v>
      </c>
      <c r="L89" s="170">
        <v>-1603129.33</v>
      </c>
      <c r="M89" s="170">
        <v>0</v>
      </c>
      <c r="N89" s="166">
        <f t="shared" si="1"/>
        <v>0</v>
      </c>
      <c r="O89">
        <v>2307300000</v>
      </c>
      <c r="P89" s="140">
        <v>2307300000</v>
      </c>
      <c r="Q89" s="144"/>
      <c r="R89" s="144"/>
    </row>
    <row r="90" spans="1:18" ht="15">
      <c r="A90" t="s">
        <v>143</v>
      </c>
      <c r="B90">
        <v>139</v>
      </c>
      <c r="C90" s="142">
        <v>1202000000</v>
      </c>
      <c r="D90" t="s">
        <v>43</v>
      </c>
      <c r="E90" s="170">
        <v>3500000</v>
      </c>
      <c r="F90" s="170">
        <v>3500000</v>
      </c>
      <c r="G90" s="170">
        <v>0</v>
      </c>
      <c r="I90">
        <v>1202000000</v>
      </c>
      <c r="J90" t="s">
        <v>43</v>
      </c>
      <c r="K90" s="170">
        <v>3500000</v>
      </c>
      <c r="L90" s="170">
        <v>3500000</v>
      </c>
      <c r="M90" s="170">
        <v>0</v>
      </c>
      <c r="N90" s="166">
        <f t="shared" si="1"/>
        <v>0</v>
      </c>
      <c r="O90">
        <v>1202000000</v>
      </c>
      <c r="P90" s="140">
        <v>1202000000</v>
      </c>
      <c r="Q90" s="144"/>
      <c r="R90" s="144"/>
    </row>
    <row r="91" spans="1:18" ht="15">
      <c r="A91" t="s">
        <v>197</v>
      </c>
      <c r="B91">
        <v>139</v>
      </c>
      <c r="C91" s="186">
        <v>2304001000</v>
      </c>
      <c r="D91" s="143" t="s">
        <v>198</v>
      </c>
      <c r="E91" s="170">
        <v>-163297.87</v>
      </c>
      <c r="F91" s="170">
        <v>-163297.87</v>
      </c>
      <c r="G91" s="170">
        <v>0</v>
      </c>
      <c r="I91">
        <v>2304001000</v>
      </c>
      <c r="J91" t="s">
        <v>198</v>
      </c>
      <c r="K91" s="170">
        <v>-163297.87</v>
      </c>
      <c r="L91" s="170">
        <v>-163297.87</v>
      </c>
      <c r="M91" s="170">
        <v>0</v>
      </c>
      <c r="N91" s="166">
        <f t="shared" si="1"/>
        <v>0</v>
      </c>
      <c r="O91">
        <v>2304001000</v>
      </c>
      <c r="P91" s="140">
        <v>2304001000</v>
      </c>
      <c r="Q91" s="144"/>
      <c r="R91" s="144"/>
    </row>
    <row r="92" spans="1:18" ht="15">
      <c r="A92" t="s">
        <v>63</v>
      </c>
      <c r="C92" s="142">
        <v>2307100000</v>
      </c>
      <c r="D92" t="s">
        <v>240</v>
      </c>
      <c r="E92" s="170">
        <v>265215.34</v>
      </c>
      <c r="F92" s="170">
        <v>265215.34</v>
      </c>
      <c r="G92" s="170">
        <v>0</v>
      </c>
      <c r="I92">
        <v>2307100000</v>
      </c>
      <c r="J92" t="s">
        <v>240</v>
      </c>
      <c r="K92" s="170">
        <v>265215.34</v>
      </c>
      <c r="L92" s="170">
        <v>265215.34</v>
      </c>
      <c r="M92" s="170">
        <v>0</v>
      </c>
      <c r="N92" s="166">
        <f t="shared" si="1"/>
        <v>0</v>
      </c>
      <c r="O92">
        <v>2307100000</v>
      </c>
      <c r="P92" s="140">
        <v>2307100000</v>
      </c>
      <c r="Q92" s="144"/>
      <c r="R92" s="144"/>
    </row>
    <row r="93" spans="2:18" ht="18.75">
      <c r="B93" s="68" t="s">
        <v>203</v>
      </c>
      <c r="E93" s="170"/>
      <c r="F93" s="170"/>
      <c r="G93" s="170"/>
      <c r="I93" s="114"/>
      <c r="J93" s="114"/>
      <c r="K93" s="170"/>
      <c r="L93" s="170"/>
      <c r="N93" s="166">
        <f t="shared" si="1"/>
        <v>0</v>
      </c>
      <c r="Q93" s="144"/>
      <c r="R93" s="144"/>
    </row>
    <row r="94" spans="5:18" ht="15">
      <c r="E94" s="170"/>
      <c r="F94" s="170"/>
      <c r="G94" s="170"/>
      <c r="I94" s="114"/>
      <c r="J94" s="114"/>
      <c r="K94" s="170"/>
      <c r="L94" s="170"/>
      <c r="N94" s="166">
        <f t="shared" si="1"/>
        <v>0</v>
      </c>
      <c r="Q94" s="144"/>
      <c r="R94" s="144"/>
    </row>
    <row r="95" spans="1:18" ht="15">
      <c r="A95" t="s">
        <v>149</v>
      </c>
      <c r="B95">
        <v>139</v>
      </c>
      <c r="C95" s="142">
        <v>3101000000</v>
      </c>
      <c r="D95" t="s">
        <v>178</v>
      </c>
      <c r="E95" s="170">
        <v>-150253.31</v>
      </c>
      <c r="F95" s="170">
        <v>-109441.65</v>
      </c>
      <c r="G95" s="170">
        <v>-40811.66</v>
      </c>
      <c r="I95">
        <v>3101000000</v>
      </c>
      <c r="J95" t="s">
        <v>178</v>
      </c>
      <c r="K95" s="170">
        <v>-150253.31</v>
      </c>
      <c r="L95" s="170">
        <v>-109441.65</v>
      </c>
      <c r="M95" s="170">
        <v>-40811.66</v>
      </c>
      <c r="N95" s="166">
        <f t="shared" si="1"/>
        <v>0</v>
      </c>
      <c r="O95">
        <v>3101000000</v>
      </c>
      <c r="Q95" s="144"/>
      <c r="R95" s="144"/>
    </row>
    <row r="96" spans="1:18" ht="15">
      <c r="A96" t="s">
        <v>151</v>
      </c>
      <c r="B96">
        <v>139</v>
      </c>
      <c r="C96" s="142">
        <v>3102000000</v>
      </c>
      <c r="D96" t="s">
        <v>179</v>
      </c>
      <c r="E96" s="170">
        <v>-925289.84</v>
      </c>
      <c r="F96" s="170">
        <v>-693967.38</v>
      </c>
      <c r="G96" s="170">
        <v>-231322.46</v>
      </c>
      <c r="I96">
        <v>3102000000</v>
      </c>
      <c r="J96" t="s">
        <v>179</v>
      </c>
      <c r="K96" s="170">
        <v>-925289.84</v>
      </c>
      <c r="L96" s="170">
        <v>-693967.38</v>
      </c>
      <c r="M96" s="170">
        <v>-231322.46</v>
      </c>
      <c r="N96" s="166">
        <f t="shared" si="1"/>
        <v>0</v>
      </c>
      <c r="O96">
        <v>3102000000</v>
      </c>
      <c r="Q96" s="144"/>
      <c r="R96" s="144"/>
    </row>
    <row r="97" spans="1:22" ht="15">
      <c r="A97" t="s">
        <v>332</v>
      </c>
      <c r="C97" s="142">
        <v>3107000000</v>
      </c>
      <c r="D97" t="s">
        <v>332</v>
      </c>
      <c r="E97" s="170"/>
      <c r="F97" s="170"/>
      <c r="G97" s="170"/>
      <c r="I97" s="142">
        <v>3107000000</v>
      </c>
      <c r="J97" t="s">
        <v>332</v>
      </c>
      <c r="K97" s="170"/>
      <c r="L97" s="170"/>
      <c r="N97" s="166">
        <f t="shared" si="1"/>
        <v>0</v>
      </c>
      <c r="O97">
        <v>3107000000</v>
      </c>
      <c r="Q97" s="144"/>
      <c r="R97" s="144"/>
      <c r="S97" s="129"/>
      <c r="T97" s="129"/>
      <c r="V97" s="143"/>
    </row>
    <row r="98" spans="1:18" ht="15">
      <c r="A98" t="s">
        <v>160</v>
      </c>
      <c r="B98">
        <v>139</v>
      </c>
      <c r="C98" s="186">
        <v>4001000000</v>
      </c>
      <c r="D98" s="143" t="s">
        <v>180</v>
      </c>
      <c r="E98" s="170">
        <v>316246.83</v>
      </c>
      <c r="F98" s="170">
        <v>237851.5</v>
      </c>
      <c r="G98" s="170">
        <v>78395.33</v>
      </c>
      <c r="I98">
        <v>4001000000</v>
      </c>
      <c r="J98" t="s">
        <v>180</v>
      </c>
      <c r="K98" s="170">
        <v>316246.83</v>
      </c>
      <c r="L98" s="170">
        <v>237851.5</v>
      </c>
      <c r="M98" s="170">
        <v>78395.33</v>
      </c>
      <c r="N98" s="166">
        <f t="shared" si="1"/>
        <v>0</v>
      </c>
      <c r="O98">
        <v>4001000000</v>
      </c>
      <c r="Q98" s="144"/>
      <c r="R98" s="144"/>
    </row>
    <row r="99" spans="1:18" ht="15">
      <c r="A99" t="s">
        <v>162</v>
      </c>
      <c r="B99">
        <v>139</v>
      </c>
      <c r="C99" s="142">
        <v>4002000001</v>
      </c>
      <c r="D99" t="s">
        <v>181</v>
      </c>
      <c r="E99" s="170">
        <v>25633</v>
      </c>
      <c r="F99" s="170">
        <v>19225</v>
      </c>
      <c r="G99" s="170">
        <v>6408</v>
      </c>
      <c r="I99">
        <v>4002000001</v>
      </c>
      <c r="J99" t="s">
        <v>181</v>
      </c>
      <c r="K99" s="170">
        <v>25633</v>
      </c>
      <c r="L99" s="170">
        <v>19225</v>
      </c>
      <c r="M99" s="170">
        <v>6408</v>
      </c>
      <c r="N99" s="166">
        <f t="shared" si="1"/>
        <v>0</v>
      </c>
      <c r="O99">
        <v>4002000001</v>
      </c>
      <c r="Q99" s="144"/>
      <c r="R99" s="144"/>
    </row>
    <row r="100" spans="1:18" ht="15">
      <c r="A100" t="s">
        <v>162</v>
      </c>
      <c r="B100">
        <v>139</v>
      </c>
      <c r="C100" s="142">
        <v>4002000005</v>
      </c>
      <c r="D100" t="s">
        <v>182</v>
      </c>
      <c r="E100" s="170">
        <v>223014</v>
      </c>
      <c r="F100" s="170">
        <v>167264</v>
      </c>
      <c r="G100" s="170">
        <v>55750</v>
      </c>
      <c r="I100">
        <v>4002000005</v>
      </c>
      <c r="J100" t="s">
        <v>182</v>
      </c>
      <c r="K100" s="170">
        <v>223014</v>
      </c>
      <c r="L100" s="170">
        <v>167264</v>
      </c>
      <c r="M100" s="170">
        <v>55750</v>
      </c>
      <c r="N100" s="166">
        <f t="shared" si="1"/>
        <v>0</v>
      </c>
      <c r="O100">
        <v>4002000005</v>
      </c>
      <c r="Q100" s="144"/>
      <c r="R100" s="144"/>
    </row>
    <row r="101" spans="1:18" ht="15">
      <c r="A101" t="s">
        <v>162</v>
      </c>
      <c r="B101">
        <v>139</v>
      </c>
      <c r="C101" s="142">
        <v>4002000008</v>
      </c>
      <c r="D101" t="s">
        <v>183</v>
      </c>
      <c r="E101" s="170">
        <v>28413</v>
      </c>
      <c r="F101" s="170">
        <v>21310</v>
      </c>
      <c r="G101" s="170">
        <v>7103</v>
      </c>
      <c r="I101">
        <v>4002000008</v>
      </c>
      <c r="J101" t="s">
        <v>183</v>
      </c>
      <c r="K101" s="170">
        <v>28413</v>
      </c>
      <c r="L101" s="170">
        <v>21310</v>
      </c>
      <c r="M101" s="170">
        <v>7103</v>
      </c>
      <c r="N101" s="166">
        <f t="shared" si="1"/>
        <v>0</v>
      </c>
      <c r="O101">
        <v>4002000008</v>
      </c>
      <c r="Q101" s="144"/>
      <c r="R101" s="144"/>
    </row>
    <row r="102" spans="1:18" ht="15">
      <c r="A102" t="s">
        <v>162</v>
      </c>
      <c r="B102">
        <v>139</v>
      </c>
      <c r="C102" s="142">
        <v>4002000011</v>
      </c>
      <c r="D102" t="s">
        <v>184</v>
      </c>
      <c r="E102" s="170">
        <v>7102</v>
      </c>
      <c r="F102" s="170">
        <v>5327</v>
      </c>
      <c r="G102" s="170">
        <v>1775</v>
      </c>
      <c r="I102">
        <v>4002000011</v>
      </c>
      <c r="J102" t="s">
        <v>184</v>
      </c>
      <c r="K102" s="170">
        <v>7102</v>
      </c>
      <c r="L102" s="170">
        <v>5327</v>
      </c>
      <c r="M102" s="170">
        <v>1775</v>
      </c>
      <c r="N102" s="166">
        <f t="shared" si="1"/>
        <v>0</v>
      </c>
      <c r="O102">
        <v>4002000011</v>
      </c>
      <c r="Q102" s="144"/>
      <c r="R102" s="144"/>
    </row>
    <row r="103" spans="1:20" ht="15">
      <c r="A103" t="s">
        <v>162</v>
      </c>
      <c r="C103">
        <v>4002000000</v>
      </c>
      <c r="D103" t="s">
        <v>428</v>
      </c>
      <c r="E103" s="170">
        <v>791.16</v>
      </c>
      <c r="F103" s="170">
        <v>791.16</v>
      </c>
      <c r="G103" s="170">
        <v>0</v>
      </c>
      <c r="I103">
        <v>4002000000</v>
      </c>
      <c r="J103" t="s">
        <v>428</v>
      </c>
      <c r="K103" s="170">
        <v>791.16</v>
      </c>
      <c r="L103" s="170">
        <v>791.16</v>
      </c>
      <c r="M103" s="170">
        <v>0</v>
      </c>
      <c r="N103" s="169">
        <f t="shared" si="1"/>
        <v>0</v>
      </c>
      <c r="O103" s="147"/>
      <c r="Q103" s="169"/>
      <c r="R103" s="169"/>
      <c r="S103" s="169"/>
      <c r="T103" s="169"/>
    </row>
    <row r="104" spans="1:22" ht="15">
      <c r="A104" s="63" t="s">
        <v>162</v>
      </c>
      <c r="B104">
        <v>139</v>
      </c>
      <c r="C104" s="142">
        <v>4002000010</v>
      </c>
      <c r="D104" t="s">
        <v>326</v>
      </c>
      <c r="E104" s="170">
        <v>7949</v>
      </c>
      <c r="F104" s="170">
        <v>5962</v>
      </c>
      <c r="G104" s="170">
        <v>1987</v>
      </c>
      <c r="I104" s="142">
        <v>4002000010</v>
      </c>
      <c r="J104" t="s">
        <v>326</v>
      </c>
      <c r="K104" s="170">
        <v>7949</v>
      </c>
      <c r="L104" s="170">
        <v>5962</v>
      </c>
      <c r="M104" s="170">
        <v>1987</v>
      </c>
      <c r="N104" s="166">
        <f t="shared" si="1"/>
        <v>0</v>
      </c>
      <c r="O104">
        <v>4002000010</v>
      </c>
      <c r="Q104" s="144"/>
      <c r="R104" s="144"/>
      <c r="S104" s="125"/>
      <c r="T104" s="125"/>
      <c r="V104" s="143"/>
    </row>
    <row r="105" spans="1:18" ht="15">
      <c r="A105" t="s">
        <v>161</v>
      </c>
      <c r="B105">
        <v>139</v>
      </c>
      <c r="C105" s="142">
        <v>4007000000</v>
      </c>
      <c r="D105" t="s">
        <v>185</v>
      </c>
      <c r="E105" s="170">
        <v>32004.81</v>
      </c>
      <c r="F105" s="170">
        <v>23999.32</v>
      </c>
      <c r="G105" s="170">
        <v>8005.49</v>
      </c>
      <c r="I105">
        <v>4007000000</v>
      </c>
      <c r="J105" t="s">
        <v>185</v>
      </c>
      <c r="K105" s="170">
        <v>32004.81</v>
      </c>
      <c r="L105" s="170">
        <v>23999.32</v>
      </c>
      <c r="M105" s="170">
        <v>8005.49</v>
      </c>
      <c r="N105" s="166">
        <f t="shared" si="1"/>
        <v>0</v>
      </c>
      <c r="O105">
        <v>4007000000</v>
      </c>
      <c r="Q105" s="144"/>
      <c r="R105" s="144"/>
    </row>
    <row r="106" spans="1:18" ht="15">
      <c r="A106" t="s">
        <v>161</v>
      </c>
      <c r="B106">
        <v>139</v>
      </c>
      <c r="C106" s="142">
        <v>4007000002</v>
      </c>
      <c r="D106" t="s">
        <v>187</v>
      </c>
      <c r="E106" s="170">
        <v>4281.61</v>
      </c>
      <c r="F106" s="170">
        <v>2775.57</v>
      </c>
      <c r="G106" s="170">
        <v>1506.04</v>
      </c>
      <c r="I106">
        <v>4007000002</v>
      </c>
      <c r="J106" t="s">
        <v>187</v>
      </c>
      <c r="K106" s="170">
        <v>4281.61</v>
      </c>
      <c r="L106" s="170">
        <v>2775.57</v>
      </c>
      <c r="M106" s="170">
        <v>1506.04</v>
      </c>
      <c r="N106" s="166">
        <f t="shared" si="1"/>
        <v>0</v>
      </c>
      <c r="O106">
        <v>4007000002</v>
      </c>
      <c r="Q106" s="144"/>
      <c r="R106" s="144"/>
    </row>
    <row r="107" spans="1:18" ht="15">
      <c r="A107" t="s">
        <v>161</v>
      </c>
      <c r="B107">
        <v>139</v>
      </c>
      <c r="C107" s="142">
        <v>4007000006</v>
      </c>
      <c r="D107" t="s">
        <v>188</v>
      </c>
      <c r="E107" s="170">
        <v>7600</v>
      </c>
      <c r="F107" s="170">
        <v>6100</v>
      </c>
      <c r="G107" s="170">
        <v>1500</v>
      </c>
      <c r="I107">
        <v>4007000006</v>
      </c>
      <c r="J107" t="s">
        <v>188</v>
      </c>
      <c r="K107" s="170">
        <v>7600</v>
      </c>
      <c r="L107" s="170">
        <v>6100</v>
      </c>
      <c r="M107" s="170">
        <v>1500</v>
      </c>
      <c r="N107" s="166">
        <f t="shared" si="1"/>
        <v>0</v>
      </c>
      <c r="O107">
        <v>4007000006</v>
      </c>
      <c r="Q107" s="144"/>
      <c r="R107" s="144"/>
    </row>
    <row r="108" spans="1:18" ht="15">
      <c r="A108" t="s">
        <v>167</v>
      </c>
      <c r="B108">
        <v>139</v>
      </c>
      <c r="C108" s="142">
        <v>4007000001</v>
      </c>
      <c r="D108" t="s">
        <v>186</v>
      </c>
      <c r="E108" s="170"/>
      <c r="F108" s="170"/>
      <c r="G108" s="170"/>
      <c r="I108">
        <v>4007000001</v>
      </c>
      <c r="J108" t="s">
        <v>186</v>
      </c>
      <c r="K108" s="170"/>
      <c r="L108" s="170"/>
      <c r="N108" s="166">
        <f t="shared" si="1"/>
        <v>0</v>
      </c>
      <c r="O108">
        <v>4007000001</v>
      </c>
      <c r="Q108" s="144"/>
      <c r="R108" s="144"/>
    </row>
    <row r="109" spans="1:18" ht="15">
      <c r="A109" t="s">
        <v>167</v>
      </c>
      <c r="B109">
        <v>139</v>
      </c>
      <c r="C109" s="142">
        <v>7000000050</v>
      </c>
      <c r="D109" t="s">
        <v>189</v>
      </c>
      <c r="E109" s="170">
        <v>0</v>
      </c>
      <c r="F109" s="170">
        <v>18.19</v>
      </c>
      <c r="G109" s="170">
        <v>-18.19</v>
      </c>
      <c r="I109">
        <v>7000000050</v>
      </c>
      <c r="J109" t="s">
        <v>189</v>
      </c>
      <c r="K109" s="170">
        <v>0</v>
      </c>
      <c r="L109" s="170">
        <v>18.19</v>
      </c>
      <c r="M109" s="170">
        <v>-18.19</v>
      </c>
      <c r="N109" s="166">
        <f t="shared" si="1"/>
        <v>0</v>
      </c>
      <c r="O109">
        <v>7000000050</v>
      </c>
      <c r="Q109" s="144"/>
      <c r="R109" s="144"/>
    </row>
    <row r="110" spans="1:18" ht="15">
      <c r="A110" t="s">
        <v>171</v>
      </c>
      <c r="B110">
        <v>139</v>
      </c>
      <c r="C110" s="142">
        <v>8000000060</v>
      </c>
      <c r="D110" t="s">
        <v>190</v>
      </c>
      <c r="E110" s="170">
        <v>557.8</v>
      </c>
      <c r="F110" s="170">
        <v>3341.78</v>
      </c>
      <c r="G110" s="170">
        <v>-2783.98</v>
      </c>
      <c r="I110">
        <v>8000000060</v>
      </c>
      <c r="J110" t="s">
        <v>190</v>
      </c>
      <c r="K110" s="170">
        <v>557.8</v>
      </c>
      <c r="L110" s="170">
        <v>3341.78</v>
      </c>
      <c r="M110" s="170">
        <v>-2783.98</v>
      </c>
      <c r="N110" s="166">
        <f t="shared" si="1"/>
        <v>0</v>
      </c>
      <c r="O110">
        <v>8000000060</v>
      </c>
      <c r="Q110" s="144"/>
      <c r="R110" s="144"/>
    </row>
    <row r="111" spans="1:18" ht="15">
      <c r="A111" t="s">
        <v>174</v>
      </c>
      <c r="B111" s="143">
        <v>139</v>
      </c>
      <c r="C111" s="186">
        <v>8000000080</v>
      </c>
      <c r="D111" s="143" t="s">
        <v>35</v>
      </c>
      <c r="E111" s="170">
        <v>53530.06</v>
      </c>
      <c r="F111" s="170">
        <v>38600.82</v>
      </c>
      <c r="G111" s="170">
        <v>14929.24</v>
      </c>
      <c r="I111">
        <v>8000000080</v>
      </c>
      <c r="J111" t="s">
        <v>35</v>
      </c>
      <c r="K111" s="170">
        <v>53530.06</v>
      </c>
      <c r="L111" s="170">
        <v>38600.82</v>
      </c>
      <c r="M111" s="170">
        <v>14929.24</v>
      </c>
      <c r="N111" s="166">
        <f t="shared" si="1"/>
        <v>0</v>
      </c>
      <c r="O111">
        <v>8000000080</v>
      </c>
      <c r="Q111" s="144"/>
      <c r="R111" s="144"/>
    </row>
    <row r="112" spans="2:18" ht="15">
      <c r="B112" s="143"/>
      <c r="C112" s="186">
        <v>8000000100</v>
      </c>
      <c r="D112" s="143" t="s">
        <v>352</v>
      </c>
      <c r="E112" s="170"/>
      <c r="F112" s="170"/>
      <c r="G112" s="170"/>
      <c r="I112" s="142">
        <v>8000000100</v>
      </c>
      <c r="J112" t="s">
        <v>352</v>
      </c>
      <c r="K112" s="170"/>
      <c r="L112" s="170"/>
      <c r="N112" s="166">
        <f t="shared" si="1"/>
        <v>0</v>
      </c>
      <c r="O112">
        <v>8000000100</v>
      </c>
      <c r="Q112" s="144"/>
      <c r="R112" s="144"/>
    </row>
    <row r="113" spans="3:18" ht="15">
      <c r="C113" s="142">
        <v>8000000140</v>
      </c>
      <c r="D113" t="s">
        <v>353</v>
      </c>
      <c r="E113" s="170"/>
      <c r="F113" s="170"/>
      <c r="G113" s="170"/>
      <c r="I113" s="142">
        <v>8000000140</v>
      </c>
      <c r="J113" t="s">
        <v>353</v>
      </c>
      <c r="K113" s="170"/>
      <c r="L113" s="170"/>
      <c r="N113" s="166">
        <f t="shared" si="1"/>
        <v>0</v>
      </c>
      <c r="O113">
        <v>8000000140</v>
      </c>
      <c r="Q113" s="144"/>
      <c r="R113" s="144"/>
    </row>
    <row r="114" spans="1:18" ht="15">
      <c r="A114" t="s">
        <v>60</v>
      </c>
      <c r="C114" s="142">
        <v>2302300000</v>
      </c>
      <c r="D114" t="s">
        <v>238</v>
      </c>
      <c r="E114" s="170"/>
      <c r="F114" s="170"/>
      <c r="G114" s="170"/>
      <c r="I114">
        <v>2302300000</v>
      </c>
      <c r="J114" t="s">
        <v>238</v>
      </c>
      <c r="K114" s="170"/>
      <c r="L114" s="170"/>
      <c r="N114" s="166">
        <f t="shared" si="1"/>
        <v>0</v>
      </c>
      <c r="O114">
        <v>2302300000</v>
      </c>
      <c r="Q114" s="144"/>
      <c r="R114" s="144"/>
    </row>
    <row r="115" spans="3:22" ht="15">
      <c r="C115" s="142">
        <v>4007000011</v>
      </c>
      <c r="D115" t="s">
        <v>292</v>
      </c>
      <c r="E115" s="170">
        <v>11502.48</v>
      </c>
      <c r="F115" s="170">
        <v>8743.35</v>
      </c>
      <c r="G115" s="170">
        <v>2759.13</v>
      </c>
      <c r="I115">
        <v>4007000011</v>
      </c>
      <c r="J115" t="s">
        <v>292</v>
      </c>
      <c r="K115" s="170">
        <v>11502.48</v>
      </c>
      <c r="L115" s="170">
        <v>8743.35</v>
      </c>
      <c r="M115" s="170">
        <v>2759.13</v>
      </c>
      <c r="N115" s="166">
        <f t="shared" si="1"/>
        <v>0</v>
      </c>
      <c r="O115">
        <v>4007000011</v>
      </c>
      <c r="Q115" s="144"/>
      <c r="R115" s="144"/>
      <c r="V115" s="143"/>
    </row>
    <row r="116" spans="3:22" ht="15">
      <c r="C116" s="142">
        <v>4007000012</v>
      </c>
      <c r="D116" t="s">
        <v>293</v>
      </c>
      <c r="E116" s="170">
        <v>37368.4</v>
      </c>
      <c r="F116" s="170">
        <v>28026.3</v>
      </c>
      <c r="G116" s="170">
        <v>9342.1</v>
      </c>
      <c r="I116">
        <v>4007000012</v>
      </c>
      <c r="J116" t="s">
        <v>293</v>
      </c>
      <c r="K116" s="170">
        <v>37368.4</v>
      </c>
      <c r="L116" s="170">
        <v>28026.3</v>
      </c>
      <c r="M116" s="170">
        <v>9342.1</v>
      </c>
      <c r="N116" s="166">
        <f t="shared" si="1"/>
        <v>0</v>
      </c>
      <c r="O116">
        <v>4007000012</v>
      </c>
      <c r="Q116" s="144"/>
      <c r="R116" s="144"/>
      <c r="V116" s="143"/>
    </row>
    <row r="117" spans="3:22" ht="15">
      <c r="C117" s="142">
        <v>5000000380</v>
      </c>
      <c r="D117" t="s">
        <v>301</v>
      </c>
      <c r="E117" s="170">
        <v>139.68</v>
      </c>
      <c r="F117" s="170">
        <v>139.68</v>
      </c>
      <c r="G117" s="170">
        <v>0</v>
      </c>
      <c r="I117">
        <v>5000000380</v>
      </c>
      <c r="J117" t="s">
        <v>301</v>
      </c>
      <c r="K117" s="170">
        <v>139.68</v>
      </c>
      <c r="L117" s="170">
        <v>139.68</v>
      </c>
      <c r="M117" s="170">
        <v>0</v>
      </c>
      <c r="N117" s="166">
        <f t="shared" si="1"/>
        <v>0</v>
      </c>
      <c r="O117">
        <v>5000000380</v>
      </c>
      <c r="Q117" s="144"/>
      <c r="R117" s="144"/>
      <c r="V117" s="143"/>
    </row>
    <row r="118" spans="5:22" ht="15">
      <c r="E118" s="170"/>
      <c r="F118" s="170"/>
      <c r="G118" s="170"/>
      <c r="K118" s="170"/>
      <c r="L118" s="170"/>
      <c r="N118" s="166">
        <f t="shared" si="1"/>
        <v>0</v>
      </c>
      <c r="Q118" s="144"/>
      <c r="R118" s="144"/>
      <c r="S118" s="144"/>
      <c r="T118" s="144"/>
      <c r="V118" s="143"/>
    </row>
    <row r="119" spans="1:22" ht="15">
      <c r="A119" t="s">
        <v>166</v>
      </c>
      <c r="C119" s="142">
        <v>5000000190</v>
      </c>
      <c r="D119" t="s">
        <v>335</v>
      </c>
      <c r="E119" s="170"/>
      <c r="F119" s="170"/>
      <c r="G119" s="170"/>
      <c r="I119" s="1">
        <v>5000000190</v>
      </c>
      <c r="J119" t="s">
        <v>335</v>
      </c>
      <c r="K119" s="170"/>
      <c r="L119" s="170"/>
      <c r="N119" s="166">
        <f t="shared" si="1"/>
        <v>0</v>
      </c>
      <c r="O119">
        <v>5000000190</v>
      </c>
      <c r="Q119" s="144"/>
      <c r="R119" s="144"/>
      <c r="V119" s="143"/>
    </row>
    <row r="120" spans="1:22" ht="15">
      <c r="A120" t="s">
        <v>166</v>
      </c>
      <c r="C120" s="142">
        <v>5000000400</v>
      </c>
      <c r="E120" s="170">
        <v>541.62</v>
      </c>
      <c r="F120" s="170">
        <v>541.62</v>
      </c>
      <c r="G120" s="170">
        <v>0</v>
      </c>
      <c r="I120" s="1">
        <v>5000000400</v>
      </c>
      <c r="J120" t="s">
        <v>334</v>
      </c>
      <c r="K120" s="170">
        <v>541.62</v>
      </c>
      <c r="L120" s="170">
        <v>541.62</v>
      </c>
      <c r="M120" s="170">
        <v>0</v>
      </c>
      <c r="N120" s="166">
        <f t="shared" si="1"/>
        <v>0</v>
      </c>
      <c r="O120">
        <v>5000000400</v>
      </c>
      <c r="Q120" s="144"/>
      <c r="R120" s="144"/>
      <c r="V120" s="143"/>
    </row>
    <row r="121" spans="1:18" ht="15">
      <c r="A121" t="s">
        <v>166</v>
      </c>
      <c r="C121" s="142">
        <v>5000000040</v>
      </c>
      <c r="D121" t="s">
        <v>282</v>
      </c>
      <c r="E121" s="170">
        <v>9787.48</v>
      </c>
      <c r="F121" s="170">
        <v>8287.48</v>
      </c>
      <c r="G121" s="170">
        <v>1500</v>
      </c>
      <c r="I121">
        <v>5000000040</v>
      </c>
      <c r="J121" t="s">
        <v>282</v>
      </c>
      <c r="K121" s="170">
        <v>9787.48</v>
      </c>
      <c r="L121" s="170">
        <v>8287.48</v>
      </c>
      <c r="M121" s="170">
        <v>1500</v>
      </c>
      <c r="N121" s="166">
        <f t="shared" si="1"/>
        <v>0</v>
      </c>
      <c r="O121">
        <v>5000000040</v>
      </c>
      <c r="Q121" s="144"/>
      <c r="R121" s="144"/>
    </row>
    <row r="122" spans="1:18" ht="15">
      <c r="A122" t="s">
        <v>166</v>
      </c>
      <c r="C122" s="142">
        <v>5000000010</v>
      </c>
      <c r="E122" s="170">
        <v>1333.32</v>
      </c>
      <c r="F122" s="170">
        <v>666.66</v>
      </c>
      <c r="G122" s="170">
        <v>666.66</v>
      </c>
      <c r="I122" s="142">
        <v>5000000010</v>
      </c>
      <c r="K122" s="170">
        <v>1333.32</v>
      </c>
      <c r="L122" s="170">
        <v>666.66</v>
      </c>
      <c r="M122" s="170">
        <v>666.66</v>
      </c>
      <c r="N122" s="166">
        <f t="shared" si="1"/>
        <v>0</v>
      </c>
      <c r="O122" s="147"/>
      <c r="Q122" s="145"/>
      <c r="R122" s="144"/>
    </row>
    <row r="123" spans="1:18" ht="15">
      <c r="A123" t="s">
        <v>166</v>
      </c>
      <c r="C123" s="142">
        <v>5000000050</v>
      </c>
      <c r="E123" s="170">
        <v>18928.8</v>
      </c>
      <c r="F123" s="170">
        <v>12600</v>
      </c>
      <c r="G123" s="170">
        <v>6328.8</v>
      </c>
      <c r="I123" s="142">
        <v>5000000050</v>
      </c>
      <c r="K123" s="170">
        <v>18928.8</v>
      </c>
      <c r="L123" s="170">
        <v>12600</v>
      </c>
      <c r="M123" s="170">
        <v>6328.8</v>
      </c>
      <c r="N123" s="166">
        <f t="shared" si="1"/>
        <v>0</v>
      </c>
      <c r="O123" s="147"/>
      <c r="Q123" s="145"/>
      <c r="R123" s="144"/>
    </row>
    <row r="124" spans="1:18" ht="15">
      <c r="A124" t="s">
        <v>166</v>
      </c>
      <c r="C124" s="142">
        <v>5000000100</v>
      </c>
      <c r="E124" s="170">
        <v>1608.95</v>
      </c>
      <c r="F124" s="170">
        <v>1071</v>
      </c>
      <c r="G124" s="170">
        <v>537.95</v>
      </c>
      <c r="I124" s="142">
        <v>5000000100</v>
      </c>
      <c r="K124" s="170">
        <v>1608.95</v>
      </c>
      <c r="L124" s="170">
        <v>1071</v>
      </c>
      <c r="M124" s="170">
        <v>537.95</v>
      </c>
      <c r="N124" s="166">
        <f t="shared" si="1"/>
        <v>0</v>
      </c>
      <c r="O124" s="147"/>
      <c r="Q124" s="145"/>
      <c r="R124" s="144"/>
    </row>
    <row r="125" spans="3:20" ht="15">
      <c r="C125" s="142">
        <v>5000000110</v>
      </c>
      <c r="D125" t="s">
        <v>391</v>
      </c>
      <c r="E125" s="170">
        <v>210</v>
      </c>
      <c r="F125" s="170">
        <v>0</v>
      </c>
      <c r="G125" s="170">
        <v>210</v>
      </c>
      <c r="I125" s="142">
        <v>5000000110</v>
      </c>
      <c r="K125" s="170">
        <v>210</v>
      </c>
      <c r="L125" s="170">
        <v>0</v>
      </c>
      <c r="M125" s="170">
        <v>210</v>
      </c>
      <c r="N125" s="166">
        <f t="shared" si="1"/>
        <v>0</v>
      </c>
      <c r="O125" s="147"/>
      <c r="Q125" s="163"/>
      <c r="R125" s="163"/>
      <c r="S125" s="163"/>
      <c r="T125" s="163"/>
    </row>
    <row r="126" spans="1:18" ht="15">
      <c r="A126" t="s">
        <v>166</v>
      </c>
      <c r="C126" s="142">
        <v>5000000120</v>
      </c>
      <c r="E126" s="170">
        <v>1608.95</v>
      </c>
      <c r="F126" s="170">
        <v>1071</v>
      </c>
      <c r="G126" s="170">
        <v>537.95</v>
      </c>
      <c r="I126" s="142">
        <v>5000000120</v>
      </c>
      <c r="K126" s="170">
        <v>1608.95</v>
      </c>
      <c r="L126" s="170">
        <v>1071</v>
      </c>
      <c r="M126" s="170">
        <v>537.95</v>
      </c>
      <c r="N126" s="166">
        <f t="shared" si="1"/>
        <v>0</v>
      </c>
      <c r="O126" s="147"/>
      <c r="Q126" s="145"/>
      <c r="R126" s="144"/>
    </row>
    <row r="127" spans="1:18" ht="15">
      <c r="A127" t="s">
        <v>166</v>
      </c>
      <c r="C127" s="142">
        <v>5000000150</v>
      </c>
      <c r="E127" s="170">
        <v>637.5</v>
      </c>
      <c r="F127" s="170">
        <v>450</v>
      </c>
      <c r="G127" s="170">
        <v>187.5</v>
      </c>
      <c r="I127" s="142">
        <v>5000000150</v>
      </c>
      <c r="K127" s="170">
        <v>637.5</v>
      </c>
      <c r="L127" s="170">
        <v>450</v>
      </c>
      <c r="M127" s="170">
        <v>187.5</v>
      </c>
      <c r="N127" s="166">
        <f t="shared" si="1"/>
        <v>0</v>
      </c>
      <c r="O127" s="147"/>
      <c r="Q127" s="145"/>
      <c r="R127" s="144"/>
    </row>
    <row r="128" spans="1:18" ht="15">
      <c r="A128" t="s">
        <v>166</v>
      </c>
      <c r="C128" s="142">
        <v>5000000160</v>
      </c>
      <c r="E128" s="170">
        <v>72.71</v>
      </c>
      <c r="F128" s="170">
        <v>69.04</v>
      </c>
      <c r="G128" s="170">
        <v>3.67</v>
      </c>
      <c r="I128" s="142">
        <v>5000000160</v>
      </c>
      <c r="K128" s="170">
        <v>72.71</v>
      </c>
      <c r="L128" s="170">
        <v>69.04</v>
      </c>
      <c r="M128" s="170">
        <v>3.67</v>
      </c>
      <c r="N128" s="166">
        <f t="shared" si="1"/>
        <v>0</v>
      </c>
      <c r="O128" s="147"/>
      <c r="Q128" s="145"/>
      <c r="R128" s="144"/>
    </row>
    <row r="129" spans="1:18" ht="15">
      <c r="A129" t="s">
        <v>166</v>
      </c>
      <c r="C129" s="142">
        <v>5000000240</v>
      </c>
      <c r="E129" s="170">
        <v>440.01</v>
      </c>
      <c r="F129" s="170">
        <v>320.01</v>
      </c>
      <c r="G129" s="170">
        <v>120</v>
      </c>
      <c r="I129" s="142">
        <v>5000000240</v>
      </c>
      <c r="K129" s="170">
        <v>440.01</v>
      </c>
      <c r="L129" s="170">
        <v>320.01</v>
      </c>
      <c r="M129" s="170">
        <v>120</v>
      </c>
      <c r="N129" s="166">
        <f t="shared" si="1"/>
        <v>0</v>
      </c>
      <c r="O129" s="147"/>
      <c r="Q129" s="145"/>
      <c r="R129" s="144"/>
    </row>
    <row r="130" spans="1:18" ht="15">
      <c r="A130" t="s">
        <v>166</v>
      </c>
      <c r="C130" s="142">
        <v>5000000260</v>
      </c>
      <c r="E130" s="170">
        <v>72</v>
      </c>
      <c r="F130" s="170">
        <v>48</v>
      </c>
      <c r="G130" s="170">
        <v>24</v>
      </c>
      <c r="I130" s="142">
        <v>5000000260</v>
      </c>
      <c r="K130" s="170">
        <v>72</v>
      </c>
      <c r="L130" s="170">
        <v>48</v>
      </c>
      <c r="M130" s="170">
        <v>24</v>
      </c>
      <c r="N130" s="166">
        <f t="shared" si="1"/>
        <v>0</v>
      </c>
      <c r="O130" s="147"/>
      <c r="Q130" s="145"/>
      <c r="R130" s="144"/>
    </row>
    <row r="131" spans="3:20" ht="15">
      <c r="C131" s="142">
        <v>5000000210</v>
      </c>
      <c r="E131" s="170"/>
      <c r="F131" s="170"/>
      <c r="G131" s="170"/>
      <c r="I131" s="142">
        <v>5000000210</v>
      </c>
      <c r="K131" s="170"/>
      <c r="L131" s="170"/>
      <c r="N131" s="166">
        <f t="shared" si="1"/>
        <v>0</v>
      </c>
      <c r="O131" s="147"/>
      <c r="Q131" s="157"/>
      <c r="R131" s="157"/>
      <c r="S131" s="157"/>
      <c r="T131" s="157"/>
    </row>
    <row r="132" spans="3:20" ht="15">
      <c r="C132" s="142">
        <v>5000000180</v>
      </c>
      <c r="E132" s="170">
        <v>108</v>
      </c>
      <c r="F132" s="170">
        <v>108</v>
      </c>
      <c r="G132" s="170">
        <v>0</v>
      </c>
      <c r="I132" s="142">
        <v>5000000180</v>
      </c>
      <c r="K132" s="170">
        <v>108</v>
      </c>
      <c r="L132" s="170">
        <v>108</v>
      </c>
      <c r="M132" s="170">
        <v>0</v>
      </c>
      <c r="N132" s="166">
        <f t="shared" si="1"/>
        <v>0</v>
      </c>
      <c r="O132" s="147"/>
      <c r="Q132" s="157"/>
      <c r="R132" s="157"/>
      <c r="S132" s="157"/>
      <c r="T132" s="157"/>
    </row>
    <row r="133" spans="3:20" ht="15">
      <c r="C133" s="142">
        <v>5000000270</v>
      </c>
      <c r="E133" s="170">
        <v>202.95</v>
      </c>
      <c r="F133" s="170">
        <v>202.95</v>
      </c>
      <c r="G133" s="170">
        <v>0</v>
      </c>
      <c r="I133" s="142">
        <v>5000000270</v>
      </c>
      <c r="K133" s="170">
        <v>202.95</v>
      </c>
      <c r="L133" s="170">
        <v>202.95</v>
      </c>
      <c r="M133" s="170">
        <v>0</v>
      </c>
      <c r="N133" s="166">
        <f t="shared" si="1"/>
        <v>0</v>
      </c>
      <c r="O133" s="147"/>
      <c r="Q133" s="145"/>
      <c r="R133" s="145"/>
      <c r="S133" s="145"/>
      <c r="T133" s="145"/>
    </row>
    <row r="134" spans="1:18" ht="15">
      <c r="A134" t="s">
        <v>166</v>
      </c>
      <c r="C134" s="142">
        <v>5000000600</v>
      </c>
      <c r="E134" s="170">
        <v>1483.52</v>
      </c>
      <c r="F134" s="170">
        <v>976.76</v>
      </c>
      <c r="G134" s="170">
        <v>506.76</v>
      </c>
      <c r="I134" s="142">
        <v>5000000600</v>
      </c>
      <c r="K134" s="170">
        <v>1483.52</v>
      </c>
      <c r="L134" s="170">
        <v>976.76</v>
      </c>
      <c r="M134" s="170">
        <v>506.76</v>
      </c>
      <c r="N134" s="166">
        <f t="shared" si="1"/>
        <v>0</v>
      </c>
      <c r="O134" s="147"/>
      <c r="Q134" s="145"/>
      <c r="R134" s="144"/>
    </row>
    <row r="135" spans="1:18" ht="15">
      <c r="A135" s="147" t="s">
        <v>358</v>
      </c>
      <c r="E135" s="113">
        <f>SUM(E119:E134)</f>
        <v>37035.81</v>
      </c>
      <c r="F135" s="113">
        <f>SUM(F119:F134)</f>
        <v>26412.52</v>
      </c>
      <c r="G135" s="113">
        <f>SUM(G119:G134)</f>
        <v>10623.29</v>
      </c>
      <c r="K135" s="113">
        <f>SUM(K119:K134)</f>
        <v>37035.81</v>
      </c>
      <c r="L135" s="113">
        <f>SUM(L119:L134)</f>
        <v>26412.52</v>
      </c>
      <c r="M135" s="113">
        <f>SUM(M119:M134)</f>
        <v>10623.29</v>
      </c>
      <c r="N135" s="166">
        <f t="shared" si="1"/>
        <v>0</v>
      </c>
      <c r="P135" s="187"/>
      <c r="Q135" s="113"/>
      <c r="R135" s="113"/>
    </row>
    <row r="136" ht="15">
      <c r="L136" s="157"/>
    </row>
    <row r="183" ht="15">
      <c r="I183" s="1"/>
    </row>
    <row r="185" ht="15">
      <c r="I185" s="1"/>
    </row>
    <row r="186" ht="15">
      <c r="I186" s="1"/>
    </row>
    <row r="189" ht="15">
      <c r="I189" s="1"/>
    </row>
    <row r="190" ht="15">
      <c r="I190" s="1"/>
    </row>
    <row r="191" ht="15">
      <c r="I191" s="1"/>
    </row>
    <row r="192" ht="15">
      <c r="I192" s="1"/>
    </row>
    <row r="193" ht="15">
      <c r="I193" s="1"/>
    </row>
    <row r="194" ht="15">
      <c r="I194" s="1"/>
    </row>
    <row r="195" ht="15">
      <c r="I195" s="1"/>
    </row>
    <row r="196" ht="15">
      <c r="I196" s="1"/>
    </row>
    <row r="197" ht="15">
      <c r="I197" s="1"/>
    </row>
    <row r="198" ht="15">
      <c r="I198" s="1"/>
    </row>
    <row r="199" ht="15">
      <c r="I199" s="1"/>
    </row>
    <row r="200" ht="15">
      <c r="I200" s="1"/>
    </row>
    <row r="201" ht="15">
      <c r="I201" s="1"/>
    </row>
    <row r="202" ht="15">
      <c r="I202" s="1"/>
    </row>
    <row r="203" ht="15">
      <c r="I203" s="1"/>
    </row>
    <row r="205" ht="15">
      <c r="I205" s="1"/>
    </row>
    <row r="207" ht="15">
      <c r="I207" s="1"/>
    </row>
    <row r="208" ht="15">
      <c r="I208" s="1"/>
    </row>
    <row r="210" ht="15">
      <c r="I210" s="1"/>
    </row>
    <row r="211" ht="15">
      <c r="I211" s="1"/>
    </row>
    <row r="212" ht="15">
      <c r="I212" s="1"/>
    </row>
    <row r="213" ht="15">
      <c r="I213" s="1"/>
    </row>
    <row r="214" ht="15">
      <c r="I214" s="1"/>
    </row>
    <row r="215" ht="15">
      <c r="I215" s="1"/>
    </row>
    <row r="216" ht="15">
      <c r="I216" s="1"/>
    </row>
    <row r="217" ht="15">
      <c r="I217" s="1"/>
    </row>
    <row r="218" ht="15">
      <c r="I218" s="1"/>
    </row>
    <row r="219" ht="15">
      <c r="I219" s="1"/>
    </row>
    <row r="220" ht="15">
      <c r="I220" s="1"/>
    </row>
    <row r="221" ht="15">
      <c r="I221" s="1"/>
    </row>
    <row r="222" ht="15">
      <c r="I222" s="1"/>
    </row>
    <row r="223" ht="15">
      <c r="I223" s="1"/>
    </row>
    <row r="224" ht="15">
      <c r="I224" s="1"/>
    </row>
    <row r="225" ht="15">
      <c r="I225" s="1"/>
    </row>
    <row r="226" ht="15">
      <c r="I226" s="1"/>
    </row>
    <row r="227" ht="15">
      <c r="I227" s="1"/>
    </row>
    <row r="228" ht="15">
      <c r="I228" s="1"/>
    </row>
    <row r="229" ht="15">
      <c r="I229" s="1"/>
    </row>
    <row r="230" ht="15">
      <c r="I230" s="1"/>
    </row>
    <row r="231" ht="15">
      <c r="I231" s="1"/>
    </row>
    <row r="232" ht="15">
      <c r="I232" s="1"/>
    </row>
    <row r="235" ht="15">
      <c r="I235" s="1"/>
    </row>
    <row r="236" ht="15">
      <c r="I236" s="1"/>
    </row>
    <row r="237" ht="15">
      <c r="I237" s="1"/>
    </row>
    <row r="238" ht="15">
      <c r="I238" s="1"/>
    </row>
    <row r="239" ht="15">
      <c r="I239" s="1"/>
    </row>
    <row r="240" ht="15">
      <c r="I240" s="1"/>
    </row>
    <row r="241" ht="15">
      <c r="I241" s="1"/>
    </row>
    <row r="242" ht="15">
      <c r="I242" s="1"/>
    </row>
    <row r="243" ht="15">
      <c r="I243" s="1"/>
    </row>
    <row r="244" ht="15">
      <c r="I244" s="1"/>
    </row>
    <row r="245" ht="15">
      <c r="I245" s="1"/>
    </row>
    <row r="246" ht="15">
      <c r="I246" s="1"/>
    </row>
    <row r="247" ht="15">
      <c r="I247" s="1"/>
    </row>
    <row r="248" ht="15">
      <c r="I248" s="1"/>
    </row>
    <row r="249" ht="15">
      <c r="I249" s="1"/>
    </row>
    <row r="251" ht="15">
      <c r="I251" s="1"/>
    </row>
    <row r="301" ht="15">
      <c r="I301" s="1"/>
    </row>
    <row r="302" ht="15">
      <c r="I302" s="1"/>
    </row>
    <row r="305" ht="15">
      <c r="I305" s="1"/>
    </row>
    <row r="306" ht="15">
      <c r="I306" s="1"/>
    </row>
    <row r="307" ht="15">
      <c r="I307" s="1"/>
    </row>
    <row r="308" ht="15">
      <c r="I308" s="1"/>
    </row>
    <row r="309" ht="15">
      <c r="I309" s="1"/>
    </row>
    <row r="310" ht="15">
      <c r="I310" s="1"/>
    </row>
    <row r="311" ht="15">
      <c r="I311" s="1"/>
    </row>
    <row r="312" ht="15">
      <c r="I312" s="1"/>
    </row>
    <row r="314" ht="15">
      <c r="I314" s="1"/>
    </row>
    <row r="315" ht="15">
      <c r="I315" s="1"/>
    </row>
    <row r="316" ht="15">
      <c r="I316" s="1"/>
    </row>
    <row r="317" ht="15">
      <c r="I317" s="1"/>
    </row>
    <row r="318" ht="15">
      <c r="I318" s="1"/>
    </row>
    <row r="319" ht="15">
      <c r="I319" s="1"/>
    </row>
    <row r="321" ht="15">
      <c r="I321" s="1"/>
    </row>
    <row r="323" ht="15">
      <c r="I323" s="1"/>
    </row>
    <row r="324" ht="15">
      <c r="I324" s="1"/>
    </row>
    <row r="325" ht="15">
      <c r="I325" s="1"/>
    </row>
    <row r="326" ht="15">
      <c r="I326" s="1"/>
    </row>
    <row r="327" ht="15">
      <c r="I327" s="1"/>
    </row>
    <row r="331" ht="15">
      <c r="I331" s="1"/>
    </row>
    <row r="334" ht="15">
      <c r="I334" s="1"/>
    </row>
    <row r="335" ht="15">
      <c r="I335" s="1"/>
    </row>
    <row r="336" ht="15">
      <c r="I336" s="1"/>
    </row>
    <row r="337" ht="15">
      <c r="I337" s="1"/>
    </row>
    <row r="338" ht="15">
      <c r="I338" s="1"/>
    </row>
    <row r="339" ht="15">
      <c r="I339" s="1"/>
    </row>
    <row r="340" ht="15">
      <c r="I340" s="1"/>
    </row>
    <row r="341" ht="15">
      <c r="I341" s="1"/>
    </row>
    <row r="342" ht="15">
      <c r="I342" s="1"/>
    </row>
    <row r="343" ht="15">
      <c r="I343" s="1"/>
    </row>
    <row r="344" ht="15">
      <c r="I344" s="1"/>
    </row>
    <row r="345" ht="15">
      <c r="I345" s="1"/>
    </row>
    <row r="346" ht="15">
      <c r="I34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A24" sqref="A24"/>
    </sheetView>
  </sheetViews>
  <sheetFormatPr defaultColWidth="11.421875" defaultRowHeight="15"/>
  <cols>
    <col min="1" max="1" width="43.140625" style="0" customWidth="1"/>
    <col min="2" max="2" width="14.140625" style="119" customWidth="1"/>
  </cols>
  <sheetData>
    <row r="1" spans="1:2" ht="15">
      <c r="A1" s="196" t="s">
        <v>307</v>
      </c>
      <c r="B1" s="196"/>
    </row>
    <row r="2" ht="15.75" thickBot="1"/>
    <row r="3" spans="1:2" ht="15.75" thickBot="1">
      <c r="A3" s="118" t="s">
        <v>312</v>
      </c>
      <c r="B3" s="120" t="s">
        <v>313</v>
      </c>
    </row>
    <row r="4" spans="1:2" ht="15">
      <c r="A4" t="s">
        <v>225</v>
      </c>
      <c r="B4" s="121">
        <v>147.9</v>
      </c>
    </row>
    <row r="5" spans="1:2" ht="15">
      <c r="A5" t="s">
        <v>306</v>
      </c>
      <c r="B5" s="121">
        <v>280.9</v>
      </c>
    </row>
    <row r="6" spans="1:2" ht="15.75" thickBot="1">
      <c r="A6" t="s">
        <v>221</v>
      </c>
      <c r="B6" s="121">
        <v>3.6</v>
      </c>
    </row>
    <row r="7" spans="1:2" ht="15.75" thickBot="1">
      <c r="A7" s="117" t="s">
        <v>64</v>
      </c>
      <c r="B7" s="123">
        <f>SUM(B4:B6)</f>
        <v>432.4</v>
      </c>
    </row>
    <row r="8" ht="15.75" thickBot="1"/>
    <row r="9" spans="1:2" ht="15.75" thickBot="1">
      <c r="A9" s="118" t="s">
        <v>312</v>
      </c>
      <c r="B9" s="120" t="s">
        <v>313</v>
      </c>
    </row>
    <row r="10" spans="1:2" ht="15">
      <c r="A10" t="s">
        <v>15</v>
      </c>
      <c r="B10" s="122">
        <v>21.8</v>
      </c>
    </row>
    <row r="11" spans="1:2" ht="15">
      <c r="A11" t="s">
        <v>16</v>
      </c>
      <c r="B11" s="122">
        <v>5.7</v>
      </c>
    </row>
    <row r="12" spans="1:2" ht="15">
      <c r="A12" t="s">
        <v>17</v>
      </c>
      <c r="B12" s="122">
        <v>2.3</v>
      </c>
    </row>
    <row r="13" spans="1:3" ht="15">
      <c r="A13" t="s">
        <v>177</v>
      </c>
      <c r="B13" s="122">
        <v>219.9</v>
      </c>
      <c r="C13" t="s">
        <v>308</v>
      </c>
    </row>
    <row r="14" spans="1:3" ht="15.75" thickBot="1">
      <c r="A14" t="s">
        <v>309</v>
      </c>
      <c r="B14" s="122">
        <v>37.9</v>
      </c>
      <c r="C14" t="s">
        <v>310</v>
      </c>
    </row>
    <row r="15" spans="1:2" ht="15.75" thickBot="1">
      <c r="A15" s="117" t="s">
        <v>311</v>
      </c>
      <c r="B15" s="123">
        <f>SUM(B10:B14)</f>
        <v>287.6</v>
      </c>
    </row>
    <row r="18" spans="1:2" ht="15">
      <c r="A18" s="196" t="s">
        <v>314</v>
      </c>
      <c r="B18" s="196"/>
    </row>
    <row r="19" ht="15.75" thickBot="1"/>
    <row r="20" spans="1:2" ht="15.75" thickBot="1">
      <c r="A20" s="118" t="s">
        <v>312</v>
      </c>
      <c r="B20" s="120" t="s">
        <v>313</v>
      </c>
    </row>
    <row r="21" spans="1:2" ht="15">
      <c r="A21" t="s">
        <v>225</v>
      </c>
      <c r="B21" s="122">
        <v>96.3</v>
      </c>
    </row>
    <row r="22" spans="1:2" ht="15">
      <c r="A22" t="s">
        <v>315</v>
      </c>
      <c r="B22" s="122">
        <v>6.7</v>
      </c>
    </row>
    <row r="23" ht="15.75" thickBot="1">
      <c r="B23" s="122"/>
    </row>
    <row r="24" spans="1:2" ht="15.75" thickBot="1">
      <c r="A24" s="117" t="s">
        <v>55</v>
      </c>
      <c r="B24" s="123">
        <f>SUM(B21:B23)</f>
        <v>103</v>
      </c>
    </row>
    <row r="26" ht="15.75" thickBot="1"/>
    <row r="27" spans="1:2" ht="15.75" thickBot="1">
      <c r="A27" s="118" t="s">
        <v>312</v>
      </c>
      <c r="B27" s="120" t="s">
        <v>313</v>
      </c>
    </row>
    <row r="28" spans="1:2" ht="15">
      <c r="A28" t="s">
        <v>32</v>
      </c>
      <c r="B28" s="122">
        <v>8.7</v>
      </c>
    </row>
    <row r="29" spans="1:2" ht="15">
      <c r="A29" t="s">
        <v>33</v>
      </c>
      <c r="B29" s="122">
        <v>40</v>
      </c>
    </row>
    <row r="30" spans="1:2" ht="15">
      <c r="A30" t="s">
        <v>34</v>
      </c>
      <c r="B30" s="122">
        <v>30.3</v>
      </c>
    </row>
    <row r="31" ht="15">
      <c r="B31" s="122"/>
    </row>
    <row r="32" ht="15.75" thickBot="1">
      <c r="B32" s="122"/>
    </row>
    <row r="33" spans="1:2" ht="15.75" thickBot="1">
      <c r="A33" s="117" t="s">
        <v>311</v>
      </c>
      <c r="B33" s="123">
        <f>SUM(B28:B32)</f>
        <v>79</v>
      </c>
    </row>
    <row r="35" ht="15.75" thickBot="1"/>
    <row r="36" spans="1:2" ht="15.75" thickBot="1">
      <c r="A36" s="118" t="s">
        <v>312</v>
      </c>
      <c r="B36" s="120" t="s">
        <v>313</v>
      </c>
    </row>
    <row r="37" spans="1:2" ht="15">
      <c r="A37" t="s">
        <v>316</v>
      </c>
      <c r="B37" s="122">
        <v>75</v>
      </c>
    </row>
    <row r="38" ht="15.75" thickBot="1">
      <c r="B38" s="122"/>
    </row>
    <row r="39" spans="1:2" ht="15.75" thickBot="1">
      <c r="A39" s="117" t="s">
        <v>317</v>
      </c>
      <c r="B39" s="123">
        <f>SUM(B37:B38)</f>
        <v>75</v>
      </c>
    </row>
  </sheetData>
  <sheetProtection/>
  <mergeCells count="2">
    <mergeCell ref="A1:B1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50"/>
  <sheetViews>
    <sheetView showGridLines="0" zoomScalePageLayoutView="0" workbookViewId="0" topLeftCell="A49">
      <selection activeCell="H57" sqref="H57"/>
    </sheetView>
  </sheetViews>
  <sheetFormatPr defaultColWidth="11.421875" defaultRowHeight="15"/>
  <cols>
    <col min="1" max="1" width="33.28125" style="0" customWidth="1"/>
    <col min="2" max="2" width="7.140625" style="0" bestFit="1" customWidth="1"/>
    <col min="3" max="3" width="14.140625" style="110" bestFit="1" customWidth="1"/>
    <col min="4" max="4" width="19.28125" style="0" bestFit="1" customWidth="1"/>
    <col min="5" max="7" width="17.28125" style="0" bestFit="1" customWidth="1"/>
    <col min="8" max="8" width="12.28125" style="0" bestFit="1" customWidth="1"/>
  </cols>
  <sheetData>
    <row r="4" ht="15">
      <c r="A4" t="s">
        <v>191</v>
      </c>
    </row>
    <row r="5" spans="2:3" ht="15">
      <c r="B5" t="s">
        <v>192</v>
      </c>
      <c r="C5" s="110">
        <v>68000.28</v>
      </c>
    </row>
    <row r="6" spans="2:4" ht="15">
      <c r="B6" t="s">
        <v>193</v>
      </c>
      <c r="C6" s="111">
        <v>46952.69</v>
      </c>
      <c r="D6" t="s">
        <v>320</v>
      </c>
    </row>
    <row r="8" spans="1:3" ht="15">
      <c r="A8" t="s">
        <v>191</v>
      </c>
      <c r="C8" s="154"/>
    </row>
    <row r="9" spans="2:6" ht="15">
      <c r="B9" t="s">
        <v>192</v>
      </c>
      <c r="C9" s="154">
        <v>129842.36</v>
      </c>
      <c r="F9" s="64"/>
    </row>
    <row r="10" spans="2:6" ht="15">
      <c r="B10" t="s">
        <v>193</v>
      </c>
      <c r="C10" s="111">
        <v>449995.01</v>
      </c>
      <c r="F10" s="64"/>
    </row>
    <row r="11" spans="3:6" ht="15">
      <c r="C11" s="154"/>
      <c r="F11" s="64"/>
    </row>
    <row r="12" spans="1:6" ht="15">
      <c r="A12" t="s">
        <v>177</v>
      </c>
      <c r="F12" s="64"/>
    </row>
    <row r="13" spans="1:4" ht="15">
      <c r="A13" t="s">
        <v>194</v>
      </c>
      <c r="B13" t="s">
        <v>192</v>
      </c>
      <c r="C13" s="64">
        <v>457400.8</v>
      </c>
      <c r="D13" t="s">
        <v>320</v>
      </c>
    </row>
    <row r="14" spans="1:4" ht="15">
      <c r="A14" t="s">
        <v>194</v>
      </c>
      <c r="B14" t="s">
        <v>193</v>
      </c>
      <c r="C14" s="111">
        <v>4211043.87</v>
      </c>
      <c r="D14" t="s">
        <v>320</v>
      </c>
    </row>
    <row r="16" spans="1:4" ht="15">
      <c r="A16" t="s">
        <v>195</v>
      </c>
      <c r="B16" t="s">
        <v>192</v>
      </c>
      <c r="C16" s="64">
        <v>422376.88</v>
      </c>
      <c r="D16" t="s">
        <v>320</v>
      </c>
    </row>
    <row r="17" spans="1:4" ht="15">
      <c r="A17" t="s">
        <v>195</v>
      </c>
      <c r="B17" t="s">
        <v>193</v>
      </c>
      <c r="C17" s="111">
        <v>766631.39</v>
      </c>
      <c r="D17" t="s">
        <v>320</v>
      </c>
    </row>
    <row r="20" spans="1:5" ht="15">
      <c r="A20" t="s">
        <v>196</v>
      </c>
      <c r="C20" s="111">
        <v>0</v>
      </c>
      <c r="D20" t="s">
        <v>320</v>
      </c>
      <c r="E20" s="64"/>
    </row>
    <row r="21" spans="3:8" s="105" customFormat="1" ht="15">
      <c r="C21" s="112"/>
      <c r="E21" s="106"/>
      <c r="H21" s="106"/>
    </row>
    <row r="22" spans="1:8" s="105" customFormat="1" ht="15">
      <c r="A22" s="105" t="s">
        <v>333</v>
      </c>
      <c r="C22" s="112">
        <v>3500000</v>
      </c>
      <c r="D22" t="s">
        <v>320</v>
      </c>
      <c r="E22" s="106"/>
      <c r="H22" s="106"/>
    </row>
    <row r="23" spans="3:8" s="105" customFormat="1" ht="15">
      <c r="C23" s="112"/>
      <c r="E23" s="106"/>
      <c r="H23" s="106"/>
    </row>
    <row r="24" spans="1:7" s="105" customFormat="1" ht="15">
      <c r="A24" s="105" t="s">
        <v>286</v>
      </c>
      <c r="B24" t="s">
        <v>192</v>
      </c>
      <c r="C24" s="112">
        <v>180856.56</v>
      </c>
      <c r="D24" s="105" t="s">
        <v>320</v>
      </c>
      <c r="E24" s="106"/>
      <c r="F24" s="106"/>
      <c r="G24" s="172"/>
    </row>
    <row r="25" spans="2:7" s="105" customFormat="1" ht="15">
      <c r="B25" t="s">
        <v>193</v>
      </c>
      <c r="C25" s="112">
        <v>0</v>
      </c>
      <c r="D25" s="105" t="s">
        <v>320</v>
      </c>
      <c r="E25" s="106" t="s">
        <v>421</v>
      </c>
      <c r="F25" s="106"/>
      <c r="G25" s="106"/>
    </row>
    <row r="26" spans="3:8" ht="15">
      <c r="C26" s="3"/>
      <c r="F26" s="64"/>
      <c r="G26" s="170"/>
      <c r="H26" s="64"/>
    </row>
    <row r="27" spans="1:8" ht="15">
      <c r="A27" t="s">
        <v>294</v>
      </c>
      <c r="B27" t="s">
        <v>192</v>
      </c>
      <c r="C27" s="170">
        <v>88850.84</v>
      </c>
      <c r="D27" t="s">
        <v>320</v>
      </c>
      <c r="E27" s="64"/>
      <c r="F27" s="64"/>
      <c r="G27" s="64"/>
      <c r="H27" s="64"/>
    </row>
    <row r="28" spans="2:8" ht="15">
      <c r="B28" t="s">
        <v>193</v>
      </c>
      <c r="C28" s="110">
        <v>179909.25</v>
      </c>
      <c r="D28" t="s">
        <v>320</v>
      </c>
      <c r="E28" s="64"/>
      <c r="F28" s="170"/>
      <c r="G28" s="170"/>
      <c r="H28" s="64"/>
    </row>
    <row r="29" spans="2:8" ht="15">
      <c r="B29" t="s">
        <v>193</v>
      </c>
      <c r="C29" s="169">
        <v>65000</v>
      </c>
      <c r="D29" t="s">
        <v>303</v>
      </c>
      <c r="E29" s="64"/>
      <c r="F29" s="170"/>
      <c r="G29" s="170"/>
      <c r="H29" s="64"/>
    </row>
    <row r="30" spans="5:11" ht="15">
      <c r="E30" s="64"/>
      <c r="F30" s="64"/>
      <c r="G30" s="170"/>
      <c r="H30" s="64"/>
      <c r="I30" s="64"/>
      <c r="K30" s="64"/>
    </row>
    <row r="31" spans="1:11" ht="15">
      <c r="A31" s="105" t="s">
        <v>302</v>
      </c>
      <c r="B31" t="s">
        <v>192</v>
      </c>
      <c r="C31" s="112">
        <v>252536.4</v>
      </c>
      <c r="D31" t="s">
        <v>320</v>
      </c>
      <c r="E31" s="64"/>
      <c r="F31" s="64"/>
      <c r="G31" s="170"/>
      <c r="H31" s="64"/>
      <c r="I31" s="64"/>
      <c r="K31" s="64"/>
    </row>
    <row r="32" spans="1:11" ht="15">
      <c r="A32" s="105"/>
      <c r="B32" t="s">
        <v>193</v>
      </c>
      <c r="C32" s="112">
        <v>43704.01</v>
      </c>
      <c r="D32" t="s">
        <v>320</v>
      </c>
      <c r="E32" s="64"/>
      <c r="G32" s="170"/>
      <c r="I32" s="64"/>
      <c r="K32" s="64"/>
    </row>
    <row r="33" spans="2:10" ht="15">
      <c r="B33" t="s">
        <v>193</v>
      </c>
      <c r="C33" s="115">
        <v>188000</v>
      </c>
      <c r="D33" t="s">
        <v>303</v>
      </c>
      <c r="E33" s="64"/>
      <c r="G33" s="170"/>
      <c r="H33" s="170"/>
      <c r="J33" s="64"/>
    </row>
    <row r="34" spans="3:10" ht="15">
      <c r="C34" s="166"/>
      <c r="E34" s="64"/>
      <c r="H34" s="64"/>
      <c r="J34" s="64"/>
    </row>
    <row r="35" spans="1:10" ht="15">
      <c r="A35" t="s">
        <v>294</v>
      </c>
      <c r="B35" t="s">
        <v>192</v>
      </c>
      <c r="C35" s="166">
        <v>30741.89</v>
      </c>
      <c r="D35" t="s">
        <v>320</v>
      </c>
      <c r="E35" s="64" t="s">
        <v>408</v>
      </c>
      <c r="G35" s="64"/>
      <c r="H35" s="64"/>
      <c r="J35" s="64"/>
    </row>
    <row r="36" spans="2:9" ht="15">
      <c r="B36" t="s">
        <v>193</v>
      </c>
      <c r="C36" s="166">
        <v>0</v>
      </c>
      <c r="D36" t="s">
        <v>320</v>
      </c>
      <c r="E36" s="64" t="s">
        <v>409</v>
      </c>
      <c r="G36" s="64"/>
      <c r="H36" s="64"/>
      <c r="I36" s="64"/>
    </row>
    <row r="37" spans="3:8" ht="15">
      <c r="C37" s="166"/>
      <c r="E37" s="64"/>
      <c r="G37" s="64"/>
      <c r="H37" s="64"/>
    </row>
    <row r="38" spans="1:8" ht="15">
      <c r="A38" t="s">
        <v>294</v>
      </c>
      <c r="B38" t="s">
        <v>192</v>
      </c>
      <c r="C38" s="166">
        <v>16201.39</v>
      </c>
      <c r="E38" s="64"/>
      <c r="F38" s="170"/>
      <c r="G38" s="64"/>
      <c r="H38" s="64"/>
    </row>
    <row r="39" spans="2:10" ht="15">
      <c r="B39" t="s">
        <v>193</v>
      </c>
      <c r="C39" s="166">
        <v>59443</v>
      </c>
      <c r="E39" s="64"/>
      <c r="F39" s="173"/>
      <c r="G39" s="64"/>
      <c r="H39" s="64"/>
      <c r="I39" s="64"/>
      <c r="J39" s="64"/>
    </row>
    <row r="40" spans="2:10" ht="15">
      <c r="B40" t="s">
        <v>193</v>
      </c>
      <c r="C40" s="166">
        <v>8407.84</v>
      </c>
      <c r="D40" t="s">
        <v>303</v>
      </c>
      <c r="E40" s="168" t="s">
        <v>410</v>
      </c>
      <c r="I40" s="64"/>
      <c r="J40" s="64"/>
    </row>
    <row r="41" spans="3:5" ht="15">
      <c r="C41" s="166"/>
      <c r="E41" s="64"/>
    </row>
    <row r="42" spans="1:5" ht="15">
      <c r="A42" t="s">
        <v>294</v>
      </c>
      <c r="B42" t="s">
        <v>192</v>
      </c>
      <c r="C42" s="166">
        <f>9126.3-9126.3</f>
        <v>0</v>
      </c>
      <c r="E42" s="64"/>
    </row>
    <row r="43" spans="2:5" ht="15">
      <c r="B43" t="s">
        <v>193</v>
      </c>
      <c r="C43" s="166">
        <f>37459.03-37459.03</f>
        <v>0</v>
      </c>
      <c r="E43" s="64"/>
    </row>
    <row r="44" spans="2:5" ht="15">
      <c r="B44" t="s">
        <v>193</v>
      </c>
      <c r="C44" s="166">
        <f>8407.84-8407.84</f>
        <v>0</v>
      </c>
      <c r="D44" t="s">
        <v>303</v>
      </c>
      <c r="E44" s="168" t="s">
        <v>415</v>
      </c>
    </row>
    <row r="45" spans="3:5" ht="15">
      <c r="C45" s="166"/>
      <c r="E45" s="64"/>
    </row>
    <row r="46" spans="3:5" ht="15">
      <c r="C46" s="166"/>
      <c r="E46" s="64"/>
    </row>
    <row r="47" spans="3:5" ht="15">
      <c r="C47" s="115"/>
      <c r="E47" s="64"/>
    </row>
    <row r="48" ht="15">
      <c r="C48" s="59">
        <f>SUM(C5:C44)</f>
        <v>11165894.46</v>
      </c>
    </row>
    <row r="49" ht="15">
      <c r="C49" s="110">
        <f>+Balance!C50+Balance!C51+Balance!C63+Balance!C67</f>
        <v>11165894.46</v>
      </c>
    </row>
    <row r="50" ht="15">
      <c r="C50" s="110">
        <f>+C49-C48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C17" sqref="C17"/>
    </sheetView>
  </sheetViews>
  <sheetFormatPr defaultColWidth="11.421875" defaultRowHeight="15"/>
  <cols>
    <col min="1" max="1" width="43.140625" style="0" customWidth="1"/>
    <col min="2" max="2" width="14.140625" style="119" customWidth="1"/>
  </cols>
  <sheetData>
    <row r="1" spans="1:2" ht="15">
      <c r="A1" s="196" t="s">
        <v>307</v>
      </c>
      <c r="B1" s="196"/>
    </row>
    <row r="2" ht="15.75" thickBot="1"/>
    <row r="3" spans="1:2" ht="15.75" thickBot="1">
      <c r="A3" s="118" t="s">
        <v>312</v>
      </c>
      <c r="B3" s="120" t="s">
        <v>313</v>
      </c>
    </row>
    <row r="4" spans="1:2" ht="15">
      <c r="A4" t="s">
        <v>225</v>
      </c>
      <c r="B4" s="122">
        <v>98.5</v>
      </c>
    </row>
    <row r="5" spans="1:2" ht="15">
      <c r="A5" t="s">
        <v>306</v>
      </c>
      <c r="B5" s="122">
        <v>320.3</v>
      </c>
    </row>
    <row r="6" spans="1:2" ht="15.75" thickBot="1">
      <c r="A6" t="s">
        <v>221</v>
      </c>
      <c r="B6" s="122">
        <v>10.9</v>
      </c>
    </row>
    <row r="7" spans="1:2" ht="15.75" thickBot="1">
      <c r="A7" s="117" t="s">
        <v>64</v>
      </c>
      <c r="B7" s="123">
        <f>SUM(B4:B6)</f>
        <v>429.7</v>
      </c>
    </row>
    <row r="8" ht="15.75" thickBot="1"/>
    <row r="9" spans="1:2" ht="15.75" thickBot="1">
      <c r="A9" s="118" t="s">
        <v>312</v>
      </c>
      <c r="B9" s="120" t="s">
        <v>313</v>
      </c>
    </row>
    <row r="10" spans="1:2" ht="15">
      <c r="A10" t="s">
        <v>15</v>
      </c>
      <c r="B10" s="122">
        <v>29.9</v>
      </c>
    </row>
    <row r="11" spans="1:2" ht="15">
      <c r="A11" t="s">
        <v>16</v>
      </c>
      <c r="B11" s="122">
        <v>20.7</v>
      </c>
    </row>
    <row r="12" spans="1:2" ht="15">
      <c r="A12" t="s">
        <v>17</v>
      </c>
      <c r="B12" s="122">
        <v>2.4</v>
      </c>
    </row>
    <row r="13" spans="1:3" ht="15">
      <c r="A13" t="s">
        <v>177</v>
      </c>
      <c r="B13" s="122">
        <v>219.9</v>
      </c>
      <c r="C13" t="s">
        <v>308</v>
      </c>
    </row>
    <row r="14" spans="1:3" ht="15.75" thickBot="1">
      <c r="A14" t="s">
        <v>309</v>
      </c>
      <c r="B14" s="122">
        <v>37.6</v>
      </c>
      <c r="C14" t="s">
        <v>310</v>
      </c>
    </row>
    <row r="15" spans="1:2" ht="15.75" thickBot="1">
      <c r="A15" s="117" t="s">
        <v>311</v>
      </c>
      <c r="B15" s="123">
        <f>SUM(B10:B14)</f>
        <v>310.5</v>
      </c>
    </row>
    <row r="18" spans="1:2" ht="15">
      <c r="A18" s="196" t="s">
        <v>314</v>
      </c>
      <c r="B18" s="196"/>
    </row>
    <row r="19" ht="15.75" thickBot="1"/>
    <row r="20" spans="1:2" ht="15.75" thickBot="1">
      <c r="A20" s="118" t="s">
        <v>312</v>
      </c>
      <c r="B20" s="120" t="s">
        <v>313</v>
      </c>
    </row>
    <row r="21" spans="1:2" ht="15">
      <c r="A21" t="s">
        <v>225</v>
      </c>
      <c r="B21" s="122">
        <v>68.6</v>
      </c>
    </row>
    <row r="22" spans="1:2" ht="15">
      <c r="A22" t="s">
        <v>315</v>
      </c>
      <c r="B22" s="122">
        <v>5.3</v>
      </c>
    </row>
    <row r="23" spans="1:2" ht="15.75" thickBot="1">
      <c r="A23" t="s">
        <v>227</v>
      </c>
      <c r="B23" s="122">
        <v>403.1</v>
      </c>
    </row>
    <row r="24" spans="1:2" ht="15.75" thickBot="1">
      <c r="A24" s="117" t="s">
        <v>55</v>
      </c>
      <c r="B24" s="123">
        <f>SUM(B21:B23)</f>
        <v>477</v>
      </c>
    </row>
    <row r="26" ht="15.75" thickBot="1"/>
    <row r="27" spans="1:2" ht="15.75" thickBot="1">
      <c r="A27" s="118" t="s">
        <v>312</v>
      </c>
      <c r="B27" s="120" t="s">
        <v>313</v>
      </c>
    </row>
    <row r="28" spans="1:2" ht="15">
      <c r="A28" t="s">
        <v>32</v>
      </c>
      <c r="B28" s="122">
        <v>9</v>
      </c>
    </row>
    <row r="29" spans="1:2" ht="15">
      <c r="A29" t="s">
        <v>33</v>
      </c>
      <c r="B29" s="122">
        <v>37.9</v>
      </c>
    </row>
    <row r="30" spans="1:2" ht="15">
      <c r="A30" t="s">
        <v>34</v>
      </c>
      <c r="B30" s="122">
        <v>31</v>
      </c>
    </row>
    <row r="31" spans="1:2" ht="15">
      <c r="A31" t="s">
        <v>323</v>
      </c>
      <c r="B31" s="122">
        <v>56.5</v>
      </c>
    </row>
    <row r="32" ht="15.75" thickBot="1">
      <c r="B32" s="122"/>
    </row>
    <row r="33" spans="1:2" ht="15.75" thickBot="1">
      <c r="A33" s="117" t="s">
        <v>311</v>
      </c>
      <c r="B33" s="123">
        <f>SUM(B28:B32)</f>
        <v>134.4</v>
      </c>
    </row>
    <row r="35" ht="15.75" thickBot="1"/>
    <row r="36" spans="1:2" ht="15.75" thickBot="1">
      <c r="A36" s="118" t="s">
        <v>312</v>
      </c>
      <c r="B36" s="120" t="s">
        <v>313</v>
      </c>
    </row>
    <row r="37" spans="1:2" ht="15">
      <c r="A37" t="s">
        <v>316</v>
      </c>
      <c r="B37" s="122">
        <v>75</v>
      </c>
    </row>
    <row r="38" ht="15.75" thickBot="1">
      <c r="B38" s="122"/>
    </row>
    <row r="39" spans="1:2" ht="15.75" thickBot="1">
      <c r="A39" s="117" t="s">
        <v>317</v>
      </c>
      <c r="B39" s="123">
        <f>SUM(B37:B38)</f>
        <v>75</v>
      </c>
    </row>
  </sheetData>
  <sheetProtection/>
  <mergeCells count="2">
    <mergeCell ref="A1:B1"/>
    <mergeCell ref="A18:B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PageLayoutView="0" workbookViewId="0" topLeftCell="A1">
      <selection activeCell="C22" sqref="C22"/>
    </sheetView>
  </sheetViews>
  <sheetFormatPr defaultColWidth="11.421875" defaultRowHeight="15"/>
  <cols>
    <col min="1" max="1" width="43.421875" style="0" customWidth="1"/>
    <col min="2" max="3" width="12.8515625" style="0" customWidth="1"/>
    <col min="4" max="4" width="16.8515625" style="0" customWidth="1"/>
    <col min="6" max="6" width="12.57421875" style="0" customWidth="1"/>
    <col min="7" max="7" width="13.140625" style="0" bestFit="1" customWidth="1"/>
  </cols>
  <sheetData>
    <row r="1" ht="15">
      <c r="C1" s="138"/>
    </row>
    <row r="2" ht="15">
      <c r="C2" s="138"/>
    </row>
    <row r="3" ht="15.75" thickBot="1">
      <c r="C3" s="138"/>
    </row>
    <row r="4" spans="1:4" ht="15.75" thickBot="1">
      <c r="A4" s="136" t="s">
        <v>64</v>
      </c>
      <c r="C4" s="138"/>
      <c r="D4" s="158">
        <f>SUM(C6:C9)</f>
        <v>334873.76999999996</v>
      </c>
    </row>
    <row r="5" ht="15">
      <c r="C5" s="138"/>
    </row>
    <row r="6" spans="1:3" ht="15">
      <c r="A6" t="s">
        <v>340</v>
      </c>
      <c r="C6" s="138">
        <f>+B7</f>
        <v>7548.56</v>
      </c>
    </row>
    <row r="7" spans="2:5" ht="15">
      <c r="B7" s="134">
        <v>7548.56</v>
      </c>
      <c r="C7" s="138"/>
      <c r="E7" t="s">
        <v>342</v>
      </c>
    </row>
    <row r="8" spans="2:3" ht="15">
      <c r="B8" s="64"/>
      <c r="C8" s="138"/>
    </row>
    <row r="9" spans="1:3" ht="15">
      <c r="A9" t="s">
        <v>306</v>
      </c>
      <c r="C9" s="139">
        <f>SUM(B10:B13)</f>
        <v>327325.20999999996</v>
      </c>
    </row>
    <row r="10" spans="2:3" ht="15">
      <c r="B10" s="64"/>
      <c r="C10" s="138"/>
    </row>
    <row r="11" spans="2:5" ht="15">
      <c r="B11" s="64">
        <v>15844.2</v>
      </c>
      <c r="C11" s="162"/>
      <c r="E11" t="s">
        <v>388</v>
      </c>
    </row>
    <row r="12" spans="2:5" ht="15">
      <c r="B12" s="64">
        <v>28442.58</v>
      </c>
      <c r="C12" s="138"/>
      <c r="E12" t="s">
        <v>387</v>
      </c>
    </row>
    <row r="13" spans="2:5" ht="15">
      <c r="B13" s="134">
        <v>283038.43</v>
      </c>
      <c r="C13" s="138"/>
      <c r="E13" t="s">
        <v>341</v>
      </c>
    </row>
    <row r="14" ht="15">
      <c r="C14" s="138"/>
    </row>
    <row r="15" ht="15">
      <c r="C15" s="138"/>
    </row>
    <row r="16" ht="15.75" thickBot="1">
      <c r="C16" s="138"/>
    </row>
    <row r="17" spans="1:4" ht="15.75" thickBot="1">
      <c r="A17" s="137" t="s">
        <v>45</v>
      </c>
      <c r="C17" s="138"/>
      <c r="D17" s="158">
        <f>SUM(C20:C28)</f>
        <v>341618.45000000007</v>
      </c>
    </row>
    <row r="18" ht="15">
      <c r="C18" s="138"/>
    </row>
    <row r="19" ht="15">
      <c r="C19" s="138"/>
    </row>
    <row r="20" spans="1:5" ht="15">
      <c r="A20" t="s">
        <v>177</v>
      </c>
      <c r="C20" s="138">
        <v>219853.76</v>
      </c>
      <c r="E20" t="s">
        <v>343</v>
      </c>
    </row>
    <row r="21" ht="15">
      <c r="C21" s="138"/>
    </row>
    <row r="22" spans="1:5" ht="15">
      <c r="A22" t="s">
        <v>309</v>
      </c>
      <c r="C22" s="138">
        <v>50293.41</v>
      </c>
      <c r="E22" t="s">
        <v>344</v>
      </c>
    </row>
    <row r="23" ht="15">
      <c r="C23" s="138"/>
    </row>
    <row r="24" spans="1:5" ht="15">
      <c r="A24" t="s">
        <v>15</v>
      </c>
      <c r="C24" s="162">
        <v>12684.05</v>
      </c>
      <c r="E24" t="s">
        <v>350</v>
      </c>
    </row>
    <row r="25" ht="15">
      <c r="C25" s="138"/>
    </row>
    <row r="26" spans="1:3" ht="15">
      <c r="A26" t="s">
        <v>17</v>
      </c>
      <c r="C26" s="162">
        <v>2401.03</v>
      </c>
    </row>
    <row r="27" ht="15">
      <c r="C27" s="162"/>
    </row>
    <row r="28" spans="1:3" ht="15">
      <c r="A28" s="64" t="s">
        <v>389</v>
      </c>
      <c r="C28" s="138">
        <v>56386.2</v>
      </c>
    </row>
    <row r="29" ht="15.75" thickBot="1">
      <c r="C29" s="138"/>
    </row>
    <row r="30" spans="1:7" ht="15.75" thickBot="1">
      <c r="A30" s="137" t="s">
        <v>383</v>
      </c>
      <c r="C30" s="157"/>
      <c r="D30" s="159">
        <f>+C32+C35</f>
        <v>3685056.41</v>
      </c>
      <c r="F30" s="157"/>
      <c r="G30" s="162">
        <v>3685056.41</v>
      </c>
    </row>
    <row r="31" ht="15">
      <c r="C31" s="157"/>
    </row>
    <row r="32" spans="1:3" ht="15">
      <c r="A32" t="s">
        <v>340</v>
      </c>
      <c r="C32" s="157">
        <v>3500000</v>
      </c>
    </row>
    <row r="33" ht="15">
      <c r="C33" s="157"/>
    </row>
    <row r="34" ht="15">
      <c r="C34" s="157"/>
    </row>
    <row r="35" spans="1:3" ht="15">
      <c r="A35" t="s">
        <v>306</v>
      </c>
      <c r="C35" s="157">
        <v>185056.41</v>
      </c>
    </row>
    <row r="36" ht="15">
      <c r="C36" s="157"/>
    </row>
    <row r="37" ht="15.75" thickBot="1">
      <c r="C37" s="138"/>
    </row>
    <row r="38" spans="1:4" ht="15.75" thickBot="1">
      <c r="A38" s="137" t="s">
        <v>55</v>
      </c>
      <c r="C38" s="138"/>
      <c r="D38" s="158">
        <f>SUM(C40:C45)</f>
        <v>316964.48000000004</v>
      </c>
    </row>
    <row r="39" ht="15">
      <c r="C39" s="138"/>
    </row>
    <row r="40" ht="15">
      <c r="C40" s="163"/>
    </row>
    <row r="41" spans="1:3" ht="15">
      <c r="A41" t="s">
        <v>390</v>
      </c>
      <c r="C41" s="162"/>
    </row>
    <row r="42" spans="1:3" ht="15">
      <c r="A42" t="s">
        <v>196</v>
      </c>
      <c r="C42" s="162"/>
    </row>
    <row r="43" spans="1:5" ht="15">
      <c r="A43" t="s">
        <v>345</v>
      </c>
      <c r="C43" s="162">
        <v>3816.64</v>
      </c>
      <c r="E43" t="s">
        <v>346</v>
      </c>
    </row>
    <row r="44" spans="1:5" ht="15">
      <c r="A44" t="s">
        <v>227</v>
      </c>
      <c r="C44" s="162">
        <v>274382.33</v>
      </c>
      <c r="E44" t="s">
        <v>347</v>
      </c>
    </row>
    <row r="45" spans="1:5" ht="15">
      <c r="A45" t="s">
        <v>227</v>
      </c>
      <c r="C45" s="139">
        <v>38765.51</v>
      </c>
      <c r="E45" t="s">
        <v>347</v>
      </c>
    </row>
    <row r="46" ht="15">
      <c r="C46" s="138"/>
    </row>
    <row r="47" ht="15.75" thickBot="1">
      <c r="C47" s="138"/>
    </row>
    <row r="48" spans="1:7" ht="15.75" thickBot="1">
      <c r="A48" s="137" t="s">
        <v>57</v>
      </c>
      <c r="C48" s="138"/>
      <c r="D48" s="135">
        <f>SUM(C50:C60)</f>
        <v>44407.26000000001</v>
      </c>
      <c r="F48" s="163"/>
      <c r="G48" s="64"/>
    </row>
    <row r="49" ht="15">
      <c r="C49" s="138"/>
    </row>
    <row r="50" ht="15">
      <c r="C50" s="138"/>
    </row>
    <row r="51" ht="15">
      <c r="C51" s="138"/>
    </row>
    <row r="52" spans="1:3" ht="15">
      <c r="A52" t="s">
        <v>384</v>
      </c>
      <c r="C52" s="157">
        <v>1358.5</v>
      </c>
    </row>
    <row r="53" ht="15">
      <c r="C53" s="157"/>
    </row>
    <row r="54" spans="1:3" ht="15">
      <c r="A54" t="s">
        <v>385</v>
      </c>
      <c r="C54" s="157">
        <v>1334.5</v>
      </c>
    </row>
    <row r="55" ht="15">
      <c r="C55" s="157"/>
    </row>
    <row r="56" spans="1:3" ht="15">
      <c r="A56" t="s">
        <v>32</v>
      </c>
      <c r="C56" s="138">
        <v>1062.69</v>
      </c>
    </row>
    <row r="57" ht="15">
      <c r="C57" s="157"/>
    </row>
    <row r="58" spans="1:3" ht="15">
      <c r="A58" t="s">
        <v>33</v>
      </c>
      <c r="C58" s="160">
        <v>39095.66</v>
      </c>
    </row>
    <row r="59" ht="15">
      <c r="C59" s="157"/>
    </row>
    <row r="60" spans="1:3" ht="15">
      <c r="A60" t="s">
        <v>331</v>
      </c>
      <c r="C60" s="139">
        <v>1555.91</v>
      </c>
    </row>
    <row r="61" ht="15.75" thickBot="1"/>
    <row r="62" spans="1:5" ht="15.75" thickBot="1">
      <c r="A62" s="137" t="s">
        <v>348</v>
      </c>
      <c r="D62" s="159">
        <f>SUM(C65)+C67</f>
        <v>38936.68</v>
      </c>
      <c r="E62" t="s">
        <v>349</v>
      </c>
    </row>
    <row r="63" ht="15">
      <c r="D63" s="81"/>
    </row>
    <row r="64" ht="15">
      <c r="D64" s="81"/>
    </row>
    <row r="65" ht="15">
      <c r="C65" s="160"/>
    </row>
    <row r="67" spans="1:3" ht="15">
      <c r="A67" t="s">
        <v>386</v>
      </c>
      <c r="C67" s="161">
        <v>38936.68</v>
      </c>
    </row>
    <row r="68" ht="15">
      <c r="C68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C17">
      <selection activeCell="G23" sqref="G23"/>
    </sheetView>
  </sheetViews>
  <sheetFormatPr defaultColWidth="11.421875" defaultRowHeight="15"/>
  <cols>
    <col min="1" max="1" width="8.00390625" style="0" bestFit="1" customWidth="1"/>
    <col min="2" max="2" width="57.28125" style="0" bestFit="1" customWidth="1"/>
    <col min="3" max="3" width="15.7109375" style="0" customWidth="1"/>
    <col min="4" max="4" width="19.57421875" style="0" bestFit="1" customWidth="1"/>
    <col min="5" max="5" width="33.00390625" style="0" bestFit="1" customWidth="1"/>
    <col min="6" max="6" width="9.28125" style="0" customWidth="1"/>
    <col min="7" max="7" width="16.28125" style="71" customWidth="1"/>
    <col min="8" max="8" width="14.00390625" style="71" hidden="1" customWidth="1"/>
    <col min="14" max="14" width="14.8515625" style="0" customWidth="1"/>
  </cols>
  <sheetData>
    <row r="1" ht="18.75">
      <c r="A1" s="68" t="s">
        <v>212</v>
      </c>
    </row>
    <row r="2" spans="7:8" ht="15">
      <c r="G2" s="77"/>
      <c r="H2" s="3"/>
    </row>
    <row r="3" spans="1:8" ht="15">
      <c r="A3" s="72" t="s">
        <v>201</v>
      </c>
      <c r="B3" s="72" t="s">
        <v>213</v>
      </c>
      <c r="C3" s="72" t="s">
        <v>214</v>
      </c>
      <c r="D3" s="72" t="s">
        <v>215</v>
      </c>
      <c r="E3" s="72" t="s">
        <v>216</v>
      </c>
      <c r="F3" s="72" t="s">
        <v>217</v>
      </c>
      <c r="G3" s="77" t="s">
        <v>218</v>
      </c>
      <c r="H3" s="78" t="s">
        <v>219</v>
      </c>
    </row>
    <row r="4" spans="1:12" ht="15">
      <c r="A4">
        <v>7000002</v>
      </c>
      <c r="B4" t="s">
        <v>220</v>
      </c>
      <c r="C4" t="s">
        <v>221</v>
      </c>
      <c r="D4" t="s">
        <v>221</v>
      </c>
      <c r="E4" s="155" t="s">
        <v>227</v>
      </c>
      <c r="G4" s="71">
        <f>1355.92*4</f>
        <v>5423.68</v>
      </c>
      <c r="H4" s="71">
        <v>1065</v>
      </c>
      <c r="K4" s="81"/>
      <c r="L4" s="189" t="s">
        <v>430</v>
      </c>
    </row>
    <row r="5" spans="1:12" ht="15">
      <c r="A5">
        <v>7000003</v>
      </c>
      <c r="B5" t="s">
        <v>220</v>
      </c>
      <c r="D5" t="s">
        <v>222</v>
      </c>
      <c r="E5" t="s">
        <v>223</v>
      </c>
      <c r="F5">
        <v>124</v>
      </c>
      <c r="H5" s="71">
        <v>541</v>
      </c>
      <c r="I5" t="s">
        <v>416</v>
      </c>
      <c r="K5" s="81"/>
      <c r="L5" t="s">
        <v>410</v>
      </c>
    </row>
    <row r="6" spans="2:12" ht="15">
      <c r="B6" t="s">
        <v>220</v>
      </c>
      <c r="G6" s="167">
        <f>689.06*4</f>
        <v>2756.24</v>
      </c>
      <c r="H6" s="167"/>
      <c r="I6" t="s">
        <v>417</v>
      </c>
      <c r="K6" s="81"/>
      <c r="L6" s="189" t="s">
        <v>430</v>
      </c>
    </row>
    <row r="7" spans="1:12" ht="15">
      <c r="A7">
        <v>7000004</v>
      </c>
      <c r="B7" t="s">
        <v>220</v>
      </c>
      <c r="D7" t="s">
        <v>224</v>
      </c>
      <c r="E7" t="s">
        <v>225</v>
      </c>
      <c r="F7">
        <v>124</v>
      </c>
      <c r="G7" s="71">
        <f>693.16*4</f>
        <v>2772.64</v>
      </c>
      <c r="H7" s="71">
        <v>544</v>
      </c>
      <c r="K7" s="81"/>
      <c r="L7" t="s">
        <v>431</v>
      </c>
    </row>
    <row r="8" spans="1:12" ht="15">
      <c r="A8">
        <v>7000005</v>
      </c>
      <c r="B8" t="s">
        <v>226</v>
      </c>
      <c r="D8" t="s">
        <v>221</v>
      </c>
      <c r="E8" t="s">
        <v>227</v>
      </c>
      <c r="F8">
        <v>125</v>
      </c>
      <c r="G8" s="71">
        <f>1780.83*4</f>
        <v>7123.32</v>
      </c>
      <c r="H8" s="71">
        <v>1291</v>
      </c>
      <c r="K8" s="81"/>
      <c r="L8" s="189" t="s">
        <v>430</v>
      </c>
    </row>
    <row r="9" spans="1:12" ht="15">
      <c r="A9">
        <v>7000006</v>
      </c>
      <c r="B9" t="s">
        <v>228</v>
      </c>
      <c r="D9" t="s">
        <v>229</v>
      </c>
      <c r="E9" t="s">
        <v>227</v>
      </c>
      <c r="F9">
        <v>125</v>
      </c>
      <c r="H9" s="71">
        <v>653</v>
      </c>
      <c r="I9" t="s">
        <v>418</v>
      </c>
      <c r="K9" s="81"/>
      <c r="L9" s="189" t="s">
        <v>430</v>
      </c>
    </row>
    <row r="10" spans="2:12" ht="15">
      <c r="B10" t="s">
        <v>228</v>
      </c>
      <c r="G10" s="167">
        <f>831.21*4</f>
        <v>3324.84</v>
      </c>
      <c r="H10" s="167"/>
      <c r="I10" t="s">
        <v>419</v>
      </c>
      <c r="K10" s="81"/>
      <c r="L10" t="s">
        <v>410</v>
      </c>
    </row>
    <row r="11" spans="1:12" ht="15">
      <c r="A11">
        <v>7000007</v>
      </c>
      <c r="B11" t="s">
        <v>230</v>
      </c>
      <c r="D11" t="s">
        <v>381</v>
      </c>
      <c r="E11" t="s">
        <v>227</v>
      </c>
      <c r="F11">
        <v>125</v>
      </c>
      <c r="G11" s="80">
        <f>568.35*4</f>
        <v>2273.4</v>
      </c>
      <c r="H11" s="71">
        <v>447</v>
      </c>
      <c r="K11" s="81"/>
      <c r="L11" s="189" t="s">
        <v>430</v>
      </c>
    </row>
    <row r="12" spans="2:11" ht="15">
      <c r="B12" t="s">
        <v>234</v>
      </c>
      <c r="D12" t="s">
        <v>235</v>
      </c>
      <c r="E12" t="s">
        <v>373</v>
      </c>
      <c r="G12" s="79"/>
      <c r="K12" s="81"/>
    </row>
    <row r="13" spans="2:12" ht="15">
      <c r="B13" t="s">
        <v>236</v>
      </c>
      <c r="D13" t="s">
        <v>221</v>
      </c>
      <c r="E13" s="155" t="s">
        <v>227</v>
      </c>
      <c r="G13" s="79">
        <f>1856*4</f>
        <v>7424</v>
      </c>
      <c r="K13" s="81"/>
      <c r="L13" s="189" t="s">
        <v>430</v>
      </c>
    </row>
    <row r="14" spans="2:12" ht="15">
      <c r="B14" t="s">
        <v>337</v>
      </c>
      <c r="D14" t="s">
        <v>338</v>
      </c>
      <c r="E14" t="s">
        <v>339</v>
      </c>
      <c r="G14" s="108">
        <f>726.54*4</f>
        <v>2906.16</v>
      </c>
      <c r="H14" s="132"/>
      <c r="K14" s="81"/>
      <c r="L14" t="s">
        <v>339</v>
      </c>
    </row>
    <row r="15" spans="5:12" ht="15">
      <c r="E15" t="s">
        <v>223</v>
      </c>
      <c r="G15" s="108">
        <f>289.05*4</f>
        <v>1156.2</v>
      </c>
      <c r="H15" s="104"/>
      <c r="K15" s="81"/>
      <c r="L15" t="s">
        <v>410</v>
      </c>
    </row>
    <row r="16" spans="5:12" ht="15">
      <c r="E16" t="s">
        <v>225</v>
      </c>
      <c r="G16" s="79">
        <f>530.89*4</f>
        <v>2123.56</v>
      </c>
      <c r="H16" s="104"/>
      <c r="K16" s="81"/>
      <c r="L16" t="s">
        <v>339</v>
      </c>
    </row>
    <row r="17" spans="5:8" ht="15">
      <c r="E17" s="2" t="s">
        <v>231</v>
      </c>
      <c r="F17" s="2"/>
      <c r="G17" s="3">
        <f>SUM(G4:G16)</f>
        <v>37284.03999999999</v>
      </c>
      <c r="H17" s="3">
        <f>SUM(H4:H11)</f>
        <v>4541</v>
      </c>
    </row>
    <row r="18" spans="5:12" ht="15">
      <c r="E18" t="s">
        <v>295</v>
      </c>
      <c r="G18" s="109">
        <f>9839.22*4</f>
        <v>39356.88</v>
      </c>
      <c r="L18" t="s">
        <v>339</v>
      </c>
    </row>
    <row r="19" spans="5:12" ht="15">
      <c r="E19" t="s">
        <v>296</v>
      </c>
      <c r="G19" s="109">
        <f>7595.98*4</f>
        <v>30383.92</v>
      </c>
      <c r="H19" s="104"/>
      <c r="L19" s="189" t="s">
        <v>430</v>
      </c>
    </row>
    <row r="20" spans="5:15" ht="15">
      <c r="E20" t="s">
        <v>232</v>
      </c>
      <c r="F20">
        <v>122</v>
      </c>
      <c r="G20" s="71">
        <f>140716.18*4</f>
        <v>562864.72</v>
      </c>
      <c r="L20" t="s">
        <v>339</v>
      </c>
      <c r="N20" s="165" t="s">
        <v>393</v>
      </c>
      <c r="O20">
        <v>433.64</v>
      </c>
    </row>
    <row r="21" spans="5:15" ht="15">
      <c r="E21" t="s">
        <v>305</v>
      </c>
      <c r="G21" s="116">
        <f>24088.78*4</f>
        <v>96355.12</v>
      </c>
      <c r="H21" s="116"/>
      <c r="L21" s="189" t="s">
        <v>430</v>
      </c>
      <c r="N21" s="165" t="s">
        <v>394</v>
      </c>
      <c r="O21">
        <v>317.65</v>
      </c>
    </row>
    <row r="22" spans="5:15" ht="15">
      <c r="E22" t="s">
        <v>329</v>
      </c>
      <c r="G22" s="125">
        <f>13008.55*2-2434.06+11791.42+11791.42</f>
        <v>47165.88</v>
      </c>
      <c r="H22" s="125"/>
      <c r="J22" s="64">
        <v>1270.6</v>
      </c>
      <c r="L22" s="189" t="s">
        <v>430</v>
      </c>
      <c r="N22" s="165" t="s">
        <v>395</v>
      </c>
      <c r="O22">
        <v>317.65</v>
      </c>
    </row>
    <row r="23" spans="5:15" ht="15">
      <c r="E23" s="165" t="s">
        <v>399</v>
      </c>
      <c r="G23">
        <f>433.64*4</f>
        <v>1734.56</v>
      </c>
      <c r="H23" s="164"/>
      <c r="J23" s="64">
        <v>1270.6</v>
      </c>
      <c r="K23">
        <f>J23/4</f>
        <v>317.65</v>
      </c>
      <c r="L23" s="189" t="s">
        <v>430</v>
      </c>
      <c r="N23" s="165" t="s">
        <v>396</v>
      </c>
      <c r="O23">
        <v>317.65</v>
      </c>
    </row>
    <row r="24" spans="5:15" ht="15">
      <c r="E24" s="165" t="s">
        <v>400</v>
      </c>
      <c r="G24">
        <f>317.65*4</f>
        <v>1270.6</v>
      </c>
      <c r="H24" s="164"/>
      <c r="J24" s="64"/>
      <c r="L24" s="189" t="s">
        <v>430</v>
      </c>
      <c r="N24" s="165" t="s">
        <v>397</v>
      </c>
      <c r="O24">
        <v>317.65</v>
      </c>
    </row>
    <row r="25" spans="5:15" ht="15">
      <c r="E25" s="165" t="s">
        <v>401</v>
      </c>
      <c r="G25">
        <f>317.65*4</f>
        <v>1270.6</v>
      </c>
      <c r="H25" s="164"/>
      <c r="J25" s="64"/>
      <c r="L25" s="189" t="s">
        <v>430</v>
      </c>
      <c r="N25" s="165" t="s">
        <v>398</v>
      </c>
      <c r="O25">
        <v>317.65</v>
      </c>
    </row>
    <row r="26" spans="5:12" ht="15">
      <c r="E26" s="165" t="s">
        <v>402</v>
      </c>
      <c r="G26">
        <f>317.65*4</f>
        <v>1270.6</v>
      </c>
      <c r="H26" s="164"/>
      <c r="J26" s="64"/>
      <c r="L26" t="s">
        <v>410</v>
      </c>
    </row>
    <row r="27" spans="5:12" ht="15">
      <c r="E27" s="165" t="s">
        <v>403</v>
      </c>
      <c r="G27">
        <f>317.65*4</f>
        <v>1270.6</v>
      </c>
      <c r="H27" s="164"/>
      <c r="J27" s="64">
        <v>1270.6</v>
      </c>
      <c r="K27">
        <f>J27/4</f>
        <v>317.65</v>
      </c>
      <c r="L27" t="s">
        <v>339</v>
      </c>
    </row>
    <row r="28" spans="5:12" ht="15">
      <c r="E28" s="165" t="s">
        <v>404</v>
      </c>
      <c r="G28" s="170"/>
      <c r="H28" s="164"/>
      <c r="J28" s="64">
        <v>4275.76</v>
      </c>
      <c r="K28">
        <f>J28/4</f>
        <v>1068.94</v>
      </c>
      <c r="L28" t="s">
        <v>432</v>
      </c>
    </row>
    <row r="29" spans="5:12" ht="15">
      <c r="E29" s="165" t="s">
        <v>405</v>
      </c>
      <c r="G29" s="166">
        <f>7497.5*4</f>
        <v>29990</v>
      </c>
      <c r="H29" s="164"/>
      <c r="J29" s="64"/>
      <c r="L29" s="189" t="s">
        <v>430</v>
      </c>
    </row>
    <row r="30" spans="5:12" ht="15">
      <c r="E30" s="165" t="s">
        <v>406</v>
      </c>
      <c r="G30" s="166">
        <f>5515.9*4</f>
        <v>22063.6</v>
      </c>
      <c r="H30" s="164"/>
      <c r="J30" s="64"/>
      <c r="L30" s="189" t="s">
        <v>430</v>
      </c>
    </row>
    <row r="31" spans="3:12" ht="15">
      <c r="C31" t="s">
        <v>412</v>
      </c>
      <c r="E31" s="165" t="s">
        <v>411</v>
      </c>
      <c r="G31" s="166">
        <f>1923.01*4</f>
        <v>7692.04</v>
      </c>
      <c r="H31" s="166"/>
      <c r="J31" s="64"/>
      <c r="L31" s="189" t="s">
        <v>430</v>
      </c>
    </row>
    <row r="32" spans="5:12" ht="15">
      <c r="E32" s="165" t="s">
        <v>413</v>
      </c>
      <c r="G32" s="166">
        <f>1505.84*4</f>
        <v>6023.36</v>
      </c>
      <c r="H32" s="166"/>
      <c r="J32" s="64"/>
      <c r="L32" t="s">
        <v>410</v>
      </c>
    </row>
    <row r="33" spans="5:10" ht="15">
      <c r="E33" s="165" t="s">
        <v>434</v>
      </c>
      <c r="G33" s="170">
        <f>2434.06*1+1217.03+1217.03</f>
        <v>4868.12</v>
      </c>
      <c r="H33" s="170"/>
      <c r="J33" s="64"/>
    </row>
    <row r="34" spans="5:12" ht="15">
      <c r="E34" s="165" t="s">
        <v>414</v>
      </c>
      <c r="G34" s="166">
        <f>1480.15*4</f>
        <v>5920.6</v>
      </c>
      <c r="H34" s="166"/>
      <c r="J34" s="64"/>
      <c r="L34" t="s">
        <v>339</v>
      </c>
    </row>
    <row r="35" spans="5:12" ht="15">
      <c r="E35" s="165" t="s">
        <v>420</v>
      </c>
      <c r="G35" s="167">
        <f>7126.19*4</f>
        <v>28504.76</v>
      </c>
      <c r="H35" s="167"/>
      <c r="J35" s="64"/>
      <c r="L35" s="189" t="s">
        <v>430</v>
      </c>
    </row>
    <row r="36" spans="5:16" ht="15">
      <c r="E36" s="2" t="s">
        <v>233</v>
      </c>
      <c r="F36" s="2"/>
      <c r="G36" s="3">
        <f>+G17+G20+G19+G18+G21+G22+G23+G24+G25+G26+G27+G28+G29+G30+G31+G32+G34+G35+G33</f>
        <v>925290</v>
      </c>
      <c r="J36" s="64">
        <f>SUM(J22:J28)</f>
        <v>8087.5599999999995</v>
      </c>
      <c r="O36">
        <f>SUM(O20:O25)</f>
        <v>2021.8900000000003</v>
      </c>
      <c r="P36">
        <f>O36*4</f>
        <v>8087.560000000001</v>
      </c>
    </row>
    <row r="37" ht="15">
      <c r="G37" s="71">
        <f>+Balance!D92</f>
        <v>925289.84</v>
      </c>
    </row>
    <row r="38" ht="15">
      <c r="G38" s="71">
        <f>+G36-G37</f>
        <v>0.1600000000325963</v>
      </c>
    </row>
    <row r="40" ht="15">
      <c r="L40" t="s">
        <v>430</v>
      </c>
    </row>
    <row r="41" ht="15">
      <c r="L41" t="s">
        <v>410</v>
      </c>
    </row>
    <row r="42" ht="15">
      <c r="L42" t="s">
        <v>339</v>
      </c>
    </row>
    <row r="43" ht="15">
      <c r="L43" t="s">
        <v>433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7"/>
  <sheetViews>
    <sheetView showGridLines="0" zoomScalePageLayoutView="0" workbookViewId="0" topLeftCell="A1">
      <selection activeCell="C55" sqref="C55"/>
    </sheetView>
  </sheetViews>
  <sheetFormatPr defaultColWidth="11.421875" defaultRowHeight="15"/>
  <cols>
    <col min="1" max="1" width="12.00390625" style="82" customWidth="1"/>
    <col min="2" max="2" width="64.8515625" style="0" customWidth="1"/>
    <col min="3" max="5" width="17.00390625" style="82" customWidth="1"/>
    <col min="242" max="242" width="12.00390625" style="0" customWidth="1"/>
    <col min="243" max="243" width="64.8515625" style="0" customWidth="1"/>
    <col min="244" max="246" width="17.00390625" style="0" customWidth="1"/>
    <col min="247" max="247" width="22.421875" style="0" bestFit="1" customWidth="1"/>
  </cols>
  <sheetData>
    <row r="1" ht="15"/>
    <row r="2" ht="15.75">
      <c r="A2" s="83" t="s">
        <v>252</v>
      </c>
    </row>
    <row r="3" ht="15.75" hidden="1" thickBot="1">
      <c r="A3" s="3" t="s">
        <v>253</v>
      </c>
    </row>
    <row r="4" spans="1:5" ht="30.75" hidden="1" thickBot="1">
      <c r="A4" s="84" t="s">
        <v>254</v>
      </c>
      <c r="B4" s="85" t="s">
        <v>67</v>
      </c>
      <c r="C4" s="86" t="s">
        <v>255</v>
      </c>
      <c r="D4" s="86" t="s">
        <v>423</v>
      </c>
      <c r="E4" s="87" t="s">
        <v>424</v>
      </c>
    </row>
    <row r="5" spans="1:5" ht="15" hidden="1">
      <c r="A5" s="88">
        <v>5400</v>
      </c>
      <c r="B5" s="89" t="s">
        <v>256</v>
      </c>
      <c r="C5" s="90">
        <v>50.79</v>
      </c>
      <c r="D5" s="127">
        <f>+C5*48</f>
        <v>2437.92</v>
      </c>
      <c r="E5" s="91">
        <f aca="true" t="shared" si="0" ref="E5:E10">+A5-D5</f>
        <v>2962.08</v>
      </c>
    </row>
    <row r="6" spans="1:5" ht="15" hidden="1">
      <c r="A6" s="88">
        <v>6000</v>
      </c>
      <c r="B6" s="92" t="s">
        <v>257</v>
      </c>
      <c r="C6" s="93">
        <v>56.43</v>
      </c>
      <c r="D6" s="126">
        <f aca="true" t="shared" si="1" ref="D6:D23">C6*48</f>
        <v>2708.64</v>
      </c>
      <c r="E6" s="94">
        <f t="shared" si="0"/>
        <v>3291.36</v>
      </c>
    </row>
    <row r="7" spans="1:5" ht="15" hidden="1">
      <c r="A7" s="88">
        <v>5400</v>
      </c>
      <c r="B7" s="95" t="s">
        <v>258</v>
      </c>
      <c r="C7" s="96">
        <v>50.79</v>
      </c>
      <c r="D7" s="126">
        <f t="shared" si="1"/>
        <v>2437.92</v>
      </c>
      <c r="E7" s="94">
        <f t="shared" si="0"/>
        <v>2962.08</v>
      </c>
    </row>
    <row r="8" spans="1:5" ht="15" hidden="1">
      <c r="A8" s="88">
        <v>54600</v>
      </c>
      <c r="B8" s="95" t="s">
        <v>259</v>
      </c>
      <c r="C8" s="96">
        <v>513.5</v>
      </c>
      <c r="D8" s="126">
        <f t="shared" si="1"/>
        <v>24648</v>
      </c>
      <c r="E8" s="94">
        <f t="shared" si="0"/>
        <v>29952</v>
      </c>
    </row>
    <row r="9" spans="1:5" ht="15" hidden="1">
      <c r="A9" s="97">
        <v>14000</v>
      </c>
      <c r="B9" s="98" t="s">
        <v>260</v>
      </c>
      <c r="C9" s="99">
        <v>131.67</v>
      </c>
      <c r="D9" s="126">
        <f t="shared" si="1"/>
        <v>6320.16</v>
      </c>
      <c r="E9" s="94">
        <f t="shared" si="0"/>
        <v>7679.84</v>
      </c>
    </row>
    <row r="10" spans="1:5" ht="15" hidden="1">
      <c r="A10" s="97">
        <v>15000</v>
      </c>
      <c r="B10" s="98" t="s">
        <v>261</v>
      </c>
      <c r="C10" s="99">
        <v>141.07</v>
      </c>
      <c r="D10" s="126">
        <f t="shared" si="1"/>
        <v>6771.36</v>
      </c>
      <c r="E10" s="94">
        <f t="shared" si="0"/>
        <v>8228.64</v>
      </c>
    </row>
    <row r="11" spans="1:5" ht="15" hidden="1">
      <c r="A11" s="97">
        <v>9300</v>
      </c>
      <c r="B11" s="98" t="s">
        <v>262</v>
      </c>
      <c r="C11" s="99">
        <v>87.46</v>
      </c>
      <c r="D11" s="126">
        <f t="shared" si="1"/>
        <v>4198.08</v>
      </c>
      <c r="E11" s="94">
        <f aca="true" t="shared" si="2" ref="E11:E23">+A11-D11</f>
        <v>5101.92</v>
      </c>
    </row>
    <row r="12" spans="1:5" ht="15" hidden="1">
      <c r="A12" s="97">
        <v>15000</v>
      </c>
      <c r="B12" s="98" t="s">
        <v>263</v>
      </c>
      <c r="C12" s="99">
        <v>141.07</v>
      </c>
      <c r="D12" s="126">
        <f t="shared" si="1"/>
        <v>6771.36</v>
      </c>
      <c r="E12" s="94">
        <f t="shared" si="2"/>
        <v>8228.64</v>
      </c>
    </row>
    <row r="13" spans="1:5" ht="15" hidden="1">
      <c r="A13" s="97">
        <v>1163.9</v>
      </c>
      <c r="B13" s="98" t="s">
        <v>264</v>
      </c>
      <c r="C13" s="99">
        <v>10.95</v>
      </c>
      <c r="D13" s="126">
        <f t="shared" si="1"/>
        <v>525.5999999999999</v>
      </c>
      <c r="E13" s="94">
        <f t="shared" si="2"/>
        <v>638.3000000000002</v>
      </c>
    </row>
    <row r="14" spans="1:5" ht="15" hidden="1">
      <c r="A14" s="97">
        <v>1293.85</v>
      </c>
      <c r="B14" s="98" t="s">
        <v>265</v>
      </c>
      <c r="C14" s="99">
        <v>12.17</v>
      </c>
      <c r="D14" s="126">
        <f t="shared" si="1"/>
        <v>584.16</v>
      </c>
      <c r="E14" s="94">
        <f t="shared" si="2"/>
        <v>709.6899999999999</v>
      </c>
    </row>
    <row r="15" spans="1:5" ht="15" hidden="1">
      <c r="A15" s="97">
        <v>1000</v>
      </c>
      <c r="B15" s="98" t="s">
        <v>266</v>
      </c>
      <c r="C15" s="99">
        <v>9.4</v>
      </c>
      <c r="D15" s="126">
        <f t="shared" si="1"/>
        <v>451.20000000000005</v>
      </c>
      <c r="E15" s="94">
        <f t="shared" si="2"/>
        <v>548.8</v>
      </c>
    </row>
    <row r="16" spans="1:5" ht="15" hidden="1">
      <c r="A16" s="97">
        <v>13136.25</v>
      </c>
      <c r="B16" s="98" t="s">
        <v>267</v>
      </c>
      <c r="C16" s="99">
        <v>123.54</v>
      </c>
      <c r="D16" s="126">
        <f t="shared" si="1"/>
        <v>5929.92</v>
      </c>
      <c r="E16" s="94">
        <f t="shared" si="2"/>
        <v>7206.33</v>
      </c>
    </row>
    <row r="17" spans="1:5" ht="15" hidden="1">
      <c r="A17" s="97">
        <v>10000</v>
      </c>
      <c r="B17" s="98" t="s">
        <v>268</v>
      </c>
      <c r="C17" s="99">
        <v>94.05</v>
      </c>
      <c r="D17" s="126">
        <f t="shared" si="1"/>
        <v>4514.4</v>
      </c>
      <c r="E17" s="94">
        <f t="shared" si="2"/>
        <v>5485.6</v>
      </c>
    </row>
    <row r="18" spans="1:5" ht="15" hidden="1">
      <c r="A18" s="97">
        <v>700</v>
      </c>
      <c r="B18" s="98" t="s">
        <v>269</v>
      </c>
      <c r="C18" s="99">
        <v>6.58</v>
      </c>
      <c r="D18" s="126">
        <f t="shared" si="1"/>
        <v>315.84000000000003</v>
      </c>
      <c r="E18" s="94">
        <f t="shared" si="2"/>
        <v>384.15999999999997</v>
      </c>
    </row>
    <row r="19" spans="1:5" ht="15" hidden="1">
      <c r="A19" s="97">
        <v>15000</v>
      </c>
      <c r="B19" s="98" t="s">
        <v>270</v>
      </c>
      <c r="C19" s="99">
        <v>141.07</v>
      </c>
      <c r="D19" s="126">
        <f t="shared" si="1"/>
        <v>6771.36</v>
      </c>
      <c r="E19" s="94">
        <f t="shared" si="2"/>
        <v>8228.64</v>
      </c>
    </row>
    <row r="20" spans="1:5" ht="15" hidden="1">
      <c r="A20" s="97">
        <v>130200</v>
      </c>
      <c r="B20" s="98" t="s">
        <v>271</v>
      </c>
      <c r="C20" s="99">
        <v>1224.5</v>
      </c>
      <c r="D20" s="126">
        <f t="shared" si="1"/>
        <v>58776</v>
      </c>
      <c r="E20" s="94">
        <f t="shared" si="2"/>
        <v>71424</v>
      </c>
    </row>
    <row r="21" spans="1:5" ht="15" hidden="1">
      <c r="A21" s="97">
        <v>15000</v>
      </c>
      <c r="B21" s="98" t="s">
        <v>272</v>
      </c>
      <c r="C21" s="99">
        <v>141.07</v>
      </c>
      <c r="D21" s="126">
        <f t="shared" si="1"/>
        <v>6771.36</v>
      </c>
      <c r="E21" s="94">
        <f t="shared" si="2"/>
        <v>8228.64</v>
      </c>
    </row>
    <row r="22" spans="1:5" ht="15" hidden="1">
      <c r="A22" s="97">
        <v>1000</v>
      </c>
      <c r="B22" s="98" t="s">
        <v>273</v>
      </c>
      <c r="C22" s="99">
        <v>9.4</v>
      </c>
      <c r="D22" s="126">
        <f t="shared" si="1"/>
        <v>451.20000000000005</v>
      </c>
      <c r="E22" s="94">
        <f t="shared" si="2"/>
        <v>548.8</v>
      </c>
    </row>
    <row r="23" spans="1:5" ht="15.75" hidden="1" thickBot="1">
      <c r="A23" s="97">
        <v>1860</v>
      </c>
      <c r="B23" s="98" t="s">
        <v>274</v>
      </c>
      <c r="C23" s="99">
        <v>17.49</v>
      </c>
      <c r="D23" s="126">
        <f t="shared" si="1"/>
        <v>839.52</v>
      </c>
      <c r="E23" s="128">
        <f t="shared" si="2"/>
        <v>1020.48</v>
      </c>
    </row>
    <row r="24" spans="1:11" ht="15.75" hidden="1" thickBot="1">
      <c r="A24" s="177">
        <f>SUM(A5:A23)</f>
        <v>315054</v>
      </c>
      <c r="B24" s="178" t="s">
        <v>275</v>
      </c>
      <c r="C24" s="100">
        <f>SUM(C5:C23)</f>
        <v>2963</v>
      </c>
      <c r="D24" s="100">
        <f>SUM(D5:D23)</f>
        <v>142223.99999999997</v>
      </c>
      <c r="E24" s="101">
        <f>SUM(E5:E23)</f>
        <v>172830.00000000003</v>
      </c>
      <c r="G24" s="81">
        <f>C24*12</f>
        <v>35556</v>
      </c>
      <c r="I24" s="169">
        <v>315054</v>
      </c>
      <c r="J24" s="81">
        <f>+I24-D24</f>
        <v>172830.00000000003</v>
      </c>
      <c r="K24" s="81">
        <f>+I24-J24</f>
        <v>142223.99999999997</v>
      </c>
    </row>
    <row r="25" spans="1:11" s="105" customFormat="1" ht="15" hidden="1">
      <c r="A25" s="174"/>
      <c r="B25" s="175"/>
      <c r="C25" s="74"/>
      <c r="D25" s="74"/>
      <c r="E25" s="74"/>
      <c r="G25" s="176"/>
      <c r="I25" s="112"/>
      <c r="J25" s="176"/>
      <c r="K25" s="176"/>
    </row>
    <row r="26" spans="1:11" s="105" customFormat="1" ht="15">
      <c r="A26" s="174"/>
      <c r="B26" s="175"/>
      <c r="C26" s="74"/>
      <c r="D26" s="74"/>
      <c r="E26" s="74"/>
      <c r="G26" s="176"/>
      <c r="I26" s="112"/>
      <c r="J26" s="176"/>
      <c r="K26" s="176"/>
    </row>
    <row r="27" spans="1:11" s="105" customFormat="1" ht="21.75" thickBot="1">
      <c r="A27" s="197" t="s">
        <v>429</v>
      </c>
      <c r="B27" s="197"/>
      <c r="C27" s="197"/>
      <c r="D27" s="197"/>
      <c r="E27" s="197"/>
      <c r="G27" s="176"/>
      <c r="I27" s="112"/>
      <c r="J27" s="176"/>
      <c r="K27" s="176"/>
    </row>
    <row r="28" spans="1:5" ht="15">
      <c r="A28" s="179">
        <v>45600</v>
      </c>
      <c r="B28" s="180" t="s">
        <v>276</v>
      </c>
      <c r="C28" s="181"/>
      <c r="D28" s="90"/>
      <c r="E28" s="182">
        <v>45600</v>
      </c>
    </row>
    <row r="29" spans="1:5" ht="15" hidden="1">
      <c r="A29" s="88">
        <v>145</v>
      </c>
      <c r="B29" s="92" t="s">
        <v>277</v>
      </c>
      <c r="C29" s="93"/>
      <c r="D29" s="93">
        <v>145</v>
      </c>
      <c r="E29" s="94"/>
    </row>
    <row r="30" spans="1:5" ht="15">
      <c r="A30" s="88">
        <v>2652</v>
      </c>
      <c r="B30" s="92" t="s">
        <v>276</v>
      </c>
      <c r="C30" s="93"/>
      <c r="D30" s="93"/>
      <c r="E30" s="94">
        <v>2652</v>
      </c>
    </row>
    <row r="31" spans="1:5" ht="15">
      <c r="A31" s="88">
        <v>2652</v>
      </c>
      <c r="B31" s="92" t="s">
        <v>276</v>
      </c>
      <c r="C31" s="93"/>
      <c r="D31" s="93"/>
      <c r="E31" s="94">
        <v>2652</v>
      </c>
    </row>
    <row r="32" spans="1:6" ht="15" hidden="1">
      <c r="A32" s="88">
        <v>5085</v>
      </c>
      <c r="B32" s="92" t="s">
        <v>304</v>
      </c>
      <c r="C32" s="93"/>
      <c r="D32" s="93">
        <v>5085</v>
      </c>
      <c r="E32" s="133">
        <f>+A32-D32</f>
        <v>0</v>
      </c>
      <c r="F32">
        <v>190000776</v>
      </c>
    </row>
    <row r="33" spans="1:5" ht="15" hidden="1">
      <c r="A33" s="88">
        <v>1550</v>
      </c>
      <c r="B33" s="92" t="s">
        <v>278</v>
      </c>
      <c r="C33" s="93">
        <v>258.33</v>
      </c>
      <c r="D33" s="93">
        <f>C33*6</f>
        <v>1549.98</v>
      </c>
      <c r="E33" s="94"/>
    </row>
    <row r="34" spans="1:5" ht="15" hidden="1">
      <c r="A34" s="88">
        <v>4600.57</v>
      </c>
      <c r="B34" s="92" t="s">
        <v>280</v>
      </c>
      <c r="C34" s="93"/>
      <c r="D34" s="93"/>
      <c r="E34" s="94"/>
    </row>
    <row r="35" spans="1:5" ht="15" hidden="1">
      <c r="A35" s="88">
        <v>100</v>
      </c>
      <c r="B35" s="92" t="s">
        <v>281</v>
      </c>
      <c r="C35" s="93"/>
      <c r="D35" s="93"/>
      <c r="E35" s="94"/>
    </row>
    <row r="36" spans="1:5" ht="15" hidden="1">
      <c r="A36" s="88">
        <v>6000</v>
      </c>
      <c r="B36" s="92" t="s">
        <v>279</v>
      </c>
      <c r="C36" s="93"/>
      <c r="D36" s="93">
        <f>500*12</f>
        <v>6000</v>
      </c>
      <c r="E36" s="94">
        <f>+A36-D36</f>
        <v>0</v>
      </c>
    </row>
    <row r="37" spans="1:5" ht="15" hidden="1">
      <c r="A37" s="88">
        <v>8389.43</v>
      </c>
      <c r="B37" s="92" t="s">
        <v>283</v>
      </c>
      <c r="C37" s="93"/>
      <c r="D37" s="93"/>
      <c r="E37" s="94"/>
    </row>
    <row r="38" spans="1:5" ht="15" hidden="1">
      <c r="A38" s="88">
        <v>6725</v>
      </c>
      <c r="B38" s="92" t="s">
        <v>283</v>
      </c>
      <c r="C38" s="93"/>
      <c r="D38" s="93"/>
      <c r="E38" s="94"/>
    </row>
    <row r="39" spans="1:5" ht="15" hidden="1">
      <c r="A39" s="88">
        <v>1216.79</v>
      </c>
      <c r="B39" s="92" t="s">
        <v>290</v>
      </c>
      <c r="C39" s="93"/>
      <c r="D39" s="93">
        <v>1216.79</v>
      </c>
      <c r="E39" s="94">
        <f aca="true" t="shared" si="3" ref="E39:E48">+A39-D39</f>
        <v>0</v>
      </c>
    </row>
    <row r="40" spans="1:6" ht="15" hidden="1">
      <c r="A40" s="88">
        <v>7000</v>
      </c>
      <c r="B40" s="92" t="s">
        <v>297</v>
      </c>
      <c r="C40" s="93"/>
      <c r="D40" s="93">
        <v>7000</v>
      </c>
      <c r="E40" s="94">
        <f t="shared" si="3"/>
        <v>0</v>
      </c>
      <c r="F40">
        <v>190000780</v>
      </c>
    </row>
    <row r="41" spans="1:6" ht="15" hidden="1">
      <c r="A41" s="88">
        <v>4500</v>
      </c>
      <c r="B41" s="92" t="s">
        <v>298</v>
      </c>
      <c r="C41" s="93"/>
      <c r="D41" s="93">
        <v>4500</v>
      </c>
      <c r="E41" s="133">
        <f t="shared" si="3"/>
        <v>0</v>
      </c>
      <c r="F41">
        <v>190000776</v>
      </c>
    </row>
    <row r="42" spans="1:6" ht="15" hidden="1">
      <c r="A42" s="88">
        <v>4500</v>
      </c>
      <c r="B42" s="92" t="s">
        <v>298</v>
      </c>
      <c r="C42" s="93"/>
      <c r="D42" s="93">
        <v>4500</v>
      </c>
      <c r="E42" s="133">
        <f t="shared" si="3"/>
        <v>0</v>
      </c>
      <c r="F42">
        <v>190000776</v>
      </c>
    </row>
    <row r="43" spans="1:7" ht="15" hidden="1">
      <c r="A43" s="88">
        <v>1576.35</v>
      </c>
      <c r="B43" s="92" t="s">
        <v>318</v>
      </c>
      <c r="C43" s="93"/>
      <c r="D43" s="93">
        <v>1576.35</v>
      </c>
      <c r="E43" s="94">
        <f t="shared" si="3"/>
        <v>0</v>
      </c>
      <c r="F43">
        <v>190000779</v>
      </c>
      <c r="G43" t="s">
        <v>336</v>
      </c>
    </row>
    <row r="44" spans="1:6" ht="15" hidden="1">
      <c r="A44" s="88">
        <v>800</v>
      </c>
      <c r="B44" s="92" t="s">
        <v>319</v>
      </c>
      <c r="C44" s="93"/>
      <c r="D44" s="93">
        <v>800</v>
      </c>
      <c r="E44" s="94">
        <f t="shared" si="3"/>
        <v>0</v>
      </c>
      <c r="F44">
        <v>190000778</v>
      </c>
    </row>
    <row r="45" spans="1:6" ht="15" hidden="1">
      <c r="A45" s="88">
        <v>140</v>
      </c>
      <c r="B45" s="92" t="s">
        <v>319</v>
      </c>
      <c r="C45" s="93"/>
      <c r="D45" s="93">
        <v>140</v>
      </c>
      <c r="E45" s="94">
        <f t="shared" si="3"/>
        <v>0</v>
      </c>
      <c r="F45">
        <v>190000778</v>
      </c>
    </row>
    <row r="46" spans="1:5" ht="15" hidden="1">
      <c r="A46" s="88">
        <v>-38</v>
      </c>
      <c r="B46" s="92" t="s">
        <v>330</v>
      </c>
      <c r="C46" s="93"/>
      <c r="D46" s="93">
        <v>-38</v>
      </c>
      <c r="E46" s="94">
        <f t="shared" si="3"/>
        <v>0</v>
      </c>
    </row>
    <row r="47" spans="1:6" ht="15" hidden="1">
      <c r="A47" s="88">
        <v>4000</v>
      </c>
      <c r="B47" s="92" t="s">
        <v>322</v>
      </c>
      <c r="C47" s="93"/>
      <c r="D47" s="93">
        <v>4000</v>
      </c>
      <c r="E47" s="94">
        <f t="shared" si="3"/>
        <v>0</v>
      </c>
      <c r="F47">
        <v>190000777</v>
      </c>
    </row>
    <row r="48" spans="1:6" ht="15" hidden="1">
      <c r="A48" s="88">
        <v>4000</v>
      </c>
      <c r="B48" s="92" t="s">
        <v>322</v>
      </c>
      <c r="C48" s="93"/>
      <c r="D48" s="93">
        <v>4000</v>
      </c>
      <c r="E48" s="94">
        <f t="shared" si="3"/>
        <v>0</v>
      </c>
      <c r="F48">
        <v>190000777</v>
      </c>
    </row>
    <row r="49" spans="1:5" ht="15" hidden="1">
      <c r="A49" s="88">
        <v>20</v>
      </c>
      <c r="B49" s="92" t="s">
        <v>382</v>
      </c>
      <c r="C49" s="93"/>
      <c r="D49" s="93">
        <v>-20</v>
      </c>
      <c r="E49" s="94">
        <f aca="true" t="shared" si="4" ref="E49:E54">+A49+D49</f>
        <v>0</v>
      </c>
    </row>
    <row r="50" spans="1:5" ht="15" hidden="1">
      <c r="A50" s="88">
        <v>1000</v>
      </c>
      <c r="B50" s="92" t="s">
        <v>374</v>
      </c>
      <c r="C50" s="93"/>
      <c r="D50" s="93">
        <v>-1000</v>
      </c>
      <c r="E50" s="94">
        <f t="shared" si="4"/>
        <v>0</v>
      </c>
    </row>
    <row r="51" spans="1:5" ht="15" hidden="1">
      <c r="A51" s="88">
        <v>6.42</v>
      </c>
      <c r="B51" s="92" t="s">
        <v>407</v>
      </c>
      <c r="C51" s="93"/>
      <c r="D51" s="93">
        <v>-6.42</v>
      </c>
      <c r="E51" s="94">
        <f t="shared" si="4"/>
        <v>0</v>
      </c>
    </row>
    <row r="52" spans="1:5" ht="15" hidden="1">
      <c r="A52" s="88">
        <v>30539.03</v>
      </c>
      <c r="B52" s="92" t="s">
        <v>422</v>
      </c>
      <c r="C52" s="93"/>
      <c r="D52" s="93">
        <v>-30539.03</v>
      </c>
      <c r="E52" s="94">
        <f t="shared" si="4"/>
        <v>0</v>
      </c>
    </row>
    <row r="53" spans="1:5" ht="15.75" thickBot="1">
      <c r="A53" s="88">
        <v>2759.14</v>
      </c>
      <c r="B53" s="92" t="s">
        <v>276</v>
      </c>
      <c r="C53" s="93"/>
      <c r="D53" s="93"/>
      <c r="E53" s="94">
        <f t="shared" si="4"/>
        <v>2759.14</v>
      </c>
    </row>
    <row r="54" spans="1:5" ht="15.75" hidden="1" thickBot="1">
      <c r="A54" s="183"/>
      <c r="B54" s="184"/>
      <c r="C54" s="185"/>
      <c r="D54" s="185"/>
      <c r="E54" s="128">
        <f t="shared" si="4"/>
        <v>0</v>
      </c>
    </row>
    <row r="55" spans="1:5" ht="15.75" thickBot="1">
      <c r="A55" s="102">
        <f>SUM(A24:A38)</f>
        <v>398553</v>
      </c>
      <c r="B55" s="103"/>
      <c r="C55" s="100">
        <f>+C24+C28+C32+C36</f>
        <v>2963</v>
      </c>
      <c r="D55" s="100">
        <f>+D24+D28+D32+D36</f>
        <v>153308.99999999997</v>
      </c>
      <c r="E55" s="101">
        <f>SUM(E28:E54)</f>
        <v>53663.14</v>
      </c>
    </row>
    <row r="56" ht="15">
      <c r="E56" s="82">
        <f>+Balance!C22</f>
        <v>53663.14</v>
      </c>
    </row>
    <row r="57" ht="15">
      <c r="E57" s="82">
        <f>+E55-E56</f>
        <v>0</v>
      </c>
    </row>
    <row r="68" ht="15"/>
    <row r="69" ht="15"/>
    <row r="70" ht="15"/>
  </sheetData>
  <sheetProtection/>
  <mergeCells count="1">
    <mergeCell ref="A27:E2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C21" sqref="C21"/>
    </sheetView>
  </sheetViews>
  <sheetFormatPr defaultColWidth="11.421875" defaultRowHeight="15"/>
  <cols>
    <col min="3" max="3" width="50.7109375" style="0" bestFit="1" customWidth="1"/>
  </cols>
  <sheetData>
    <row r="2" spans="1:3" ht="15">
      <c r="A2" s="2" t="s">
        <v>364</v>
      </c>
      <c r="B2" s="2" t="s">
        <v>365</v>
      </c>
      <c r="C2" s="2" t="s">
        <v>366</v>
      </c>
    </row>
    <row r="3" spans="1:3" ht="15">
      <c r="A3" s="146">
        <v>1140000000</v>
      </c>
      <c r="B3" s="149">
        <v>8978.63</v>
      </c>
      <c r="C3" s="2" t="s">
        <v>360</v>
      </c>
    </row>
    <row r="4" spans="1:3" ht="15">
      <c r="A4" s="2">
        <v>1141000000</v>
      </c>
      <c r="B4" s="3">
        <v>2419.89</v>
      </c>
      <c r="C4" s="2" t="s">
        <v>17</v>
      </c>
    </row>
    <row r="5" ht="15">
      <c r="A5" s="2"/>
    </row>
    <row r="6" spans="1:3" ht="15">
      <c r="A6" s="2"/>
      <c r="B6" s="64">
        <v>219853.76</v>
      </c>
      <c r="C6" t="s">
        <v>361</v>
      </c>
    </row>
    <row r="7" spans="1:3" ht="15">
      <c r="A7" s="2"/>
      <c r="B7" s="64">
        <v>55300.68</v>
      </c>
      <c r="C7" t="s">
        <v>362</v>
      </c>
    </row>
    <row r="8" spans="1:3" ht="15">
      <c r="A8" s="2"/>
      <c r="B8" s="64">
        <v>28366.39</v>
      </c>
      <c r="C8" t="s">
        <v>363</v>
      </c>
    </row>
    <row r="9" spans="1:3" ht="15">
      <c r="A9" s="146">
        <v>1132500000</v>
      </c>
      <c r="B9" s="3">
        <f>SUM(B6:B8)</f>
        <v>303520.83</v>
      </c>
      <c r="C9" s="2" t="s">
        <v>14</v>
      </c>
    </row>
    <row r="10" spans="1:3" ht="15">
      <c r="A10" s="146"/>
      <c r="B10" s="113">
        <f>+B3+B4+B9</f>
        <v>314919.35000000003</v>
      </c>
      <c r="C10" s="150" t="s">
        <v>359</v>
      </c>
    </row>
    <row r="11" ht="15">
      <c r="A11" s="2"/>
    </row>
    <row r="12" spans="1:3" ht="15">
      <c r="A12" s="2"/>
      <c r="B12" s="64">
        <v>7548.56</v>
      </c>
      <c r="C12" t="s">
        <v>367</v>
      </c>
    </row>
    <row r="13" spans="1:3" ht="15">
      <c r="A13" s="2"/>
      <c r="B13" s="64">
        <v>356085.67</v>
      </c>
      <c r="C13" t="s">
        <v>306</v>
      </c>
    </row>
    <row r="14" spans="1:3" ht="15">
      <c r="A14" s="146">
        <v>1131100000</v>
      </c>
      <c r="B14" s="113">
        <f>SUM(B12:B13)</f>
        <v>363634.23</v>
      </c>
      <c r="C14" s="150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maguilar</dc:creator>
  <cp:keywords/>
  <dc:description/>
  <cp:lastModifiedBy>Vherrera</cp:lastModifiedBy>
  <dcterms:created xsi:type="dcterms:W3CDTF">2015-01-21T21:58:37Z</dcterms:created>
  <dcterms:modified xsi:type="dcterms:W3CDTF">2018-05-04T15:09:52Z</dcterms:modified>
  <cp:category/>
  <cp:version/>
  <cp:contentType/>
  <cp:contentStatus/>
</cp:coreProperties>
</file>