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draaguilar\Documents\PROCESO - SANDRA\PEDRO\Informes\Banco Cuscatlán_informe 2017\"/>
    </mc:Choice>
  </mc:AlternateContent>
  <bookViews>
    <workbookView xWindow="-225" yWindow="-180" windowWidth="9255" windowHeight="8385" tabRatio="552" activeTab="3"/>
  </bookViews>
  <sheets>
    <sheet name="Balance" sheetId="5" r:id="rId1"/>
    <sheet name="Est.Res." sheetId="6" r:id="rId2"/>
    <sheet name="patrimonio " sheetId="9" r:id="rId3"/>
    <sheet name="flujo de Efectivo" sheetId="11" r:id="rId4"/>
    <sheet name="patrimonio" sheetId="7" state="hidden" r:id="rId5"/>
    <sheet name="flujo" sheetId="8" state="hidden" r:id="rId6"/>
    <sheet name="Activo" sheetId="1" state="hidden" r:id="rId7"/>
    <sheet name="Pasivo" sheetId="2" state="hidden" r:id="rId8"/>
    <sheet name="Utilidades" sheetId="3" state="hidden" r:id="rId9"/>
    <sheet name="Capital" sheetId="4" state="hidden" r:id="rId10"/>
  </sheets>
  <externalReferences>
    <externalReference r:id="rId11"/>
    <externalReference r:id="rId12"/>
  </externalReferences>
  <definedNames>
    <definedName name="_xlnm.Print_Area" localSheetId="0">Balance!$A$1:$N$65</definedName>
    <definedName name="_xlnm.Print_Area" localSheetId="9">Capital!$A$1:$P$19</definedName>
    <definedName name="_xlnm.Print_Area" localSheetId="1">Est.Res.!$A$1:$K$64</definedName>
    <definedName name="_xlnm.Print_Area" localSheetId="3">'flujo de Efectivo'!$A$1:$F$58</definedName>
    <definedName name="_xlnm.Print_Area" localSheetId="2">'patrimonio '!$A$1:$U$46</definedName>
    <definedName name="Z_3D698121_0B51_11D7_B18F_0002A5FC2CF4_.wvu.Rows" localSheetId="5" hidden="1">flujo!#REF!,flujo!#REF!,flujo!#REF!,flujo!#REF!</definedName>
    <definedName name="Z_FD82D1FB_B44E_4642_AFFB_9950BFD46D23_.wvu.Rows" localSheetId="5" hidden="1">flujo!#REF!,flujo!#REF!,flujo!#REF!,flujo!#REF!</definedName>
    <definedName name="Z_FE82E06B_D9E0_11D6_ADC2_00508B60A4FE_.wvu.Rows" localSheetId="5" hidden="1">flujo!#REF!,flujo!#REF!,flujo!#REF!,flujo!#REF!</definedName>
  </definedNames>
  <calcPr calcId="152511"/>
</workbook>
</file>

<file path=xl/calcChain.xml><?xml version="1.0" encoding="utf-8"?>
<calcChain xmlns="http://schemas.openxmlformats.org/spreadsheetml/2006/main">
  <c r="S24" i="9" l="1"/>
  <c r="S18" i="9"/>
  <c r="Q18" i="9"/>
  <c r="S27" i="9" l="1"/>
  <c r="Q27" i="9"/>
  <c r="M27" i="9"/>
  <c r="K27" i="9"/>
  <c r="I27" i="9"/>
  <c r="O23" i="9"/>
  <c r="U23" i="9" s="1"/>
  <c r="S19" i="9"/>
  <c r="Q19" i="9"/>
  <c r="I19" i="9"/>
  <c r="M18" i="9"/>
  <c r="M19" i="9" s="1"/>
  <c r="M28" i="9" s="1"/>
  <c r="K18" i="9"/>
  <c r="K19" i="9" s="1"/>
  <c r="K28" i="9" s="1"/>
  <c r="K45" i="6"/>
  <c r="K36" i="6"/>
  <c r="K24" i="6"/>
  <c r="K14" i="6"/>
  <c r="N45" i="5"/>
  <c r="N36" i="5"/>
  <c r="N29" i="5"/>
  <c r="N20" i="5"/>
  <c r="N14" i="5"/>
  <c r="F42" i="11"/>
  <c r="F36" i="11"/>
  <c r="F29" i="11"/>
  <c r="F43" i="11" l="1"/>
  <c r="F45" i="11" s="1"/>
  <c r="I28" i="9"/>
  <c r="I30" i="9" s="1"/>
  <c r="S28" i="9"/>
  <c r="Q28" i="9"/>
  <c r="K34" i="6"/>
  <c r="K41" i="6" s="1"/>
  <c r="K49" i="6" s="1"/>
  <c r="K55" i="6" s="1"/>
  <c r="N41" i="5"/>
  <c r="N49" i="5" s="1"/>
  <c r="N26" i="5"/>
  <c r="L45" i="5" l="1"/>
  <c r="D42" i="11" l="1"/>
  <c r="D36" i="11"/>
  <c r="D29" i="11"/>
  <c r="D43" i="11" l="1"/>
  <c r="D45" i="11" l="1"/>
  <c r="L14" i="5" l="1"/>
  <c r="L20" i="5"/>
  <c r="I45" i="6" l="1"/>
  <c r="I36" i="6" l="1"/>
  <c r="L36" i="5" l="1"/>
  <c r="I24" i="6" l="1"/>
  <c r="I14" i="6"/>
  <c r="L29" i="5"/>
  <c r="L41" i="5" s="1"/>
  <c r="L49" i="5" s="1"/>
  <c r="I34" i="6" l="1"/>
  <c r="I41" i="6" s="1"/>
  <c r="I49" i="6" s="1"/>
  <c r="I55" i="6" s="1"/>
  <c r="L26" i="5"/>
  <c r="O26" i="9" l="1"/>
  <c r="U26" i="9" s="1"/>
  <c r="O25" i="9"/>
  <c r="U25" i="9" s="1"/>
  <c r="O24" i="9"/>
  <c r="O17" i="9"/>
  <c r="U17" i="9" s="1"/>
  <c r="O16" i="9"/>
  <c r="U16" i="9" s="1"/>
  <c r="O15" i="9"/>
  <c r="U15" i="9" s="1"/>
  <c r="C19" i="9"/>
  <c r="E19" i="9"/>
  <c r="G19" i="9"/>
  <c r="C27" i="9"/>
  <c r="E27" i="9"/>
  <c r="G27" i="9"/>
  <c r="D38" i="8"/>
  <c r="I21" i="7"/>
  <c r="O21" i="7" s="1"/>
  <c r="I20" i="7"/>
  <c r="O20" i="7" s="1"/>
  <c r="I19" i="7"/>
  <c r="O19" i="7" s="1"/>
  <c r="I18" i="7"/>
  <c r="O18" i="7" s="1"/>
  <c r="I12" i="7"/>
  <c r="O12" i="7" s="1"/>
  <c r="I11" i="7"/>
  <c r="O11" i="7" s="1"/>
  <c r="I10" i="7"/>
  <c r="O10" i="7" s="1"/>
  <c r="I9" i="7"/>
  <c r="O9" i="7" s="1"/>
  <c r="I8" i="7"/>
  <c r="O8" i="7" s="1"/>
  <c r="D33" i="1"/>
  <c r="H28" i="1"/>
  <c r="H31" i="1"/>
  <c r="H32" i="1"/>
  <c r="J31" i="1"/>
  <c r="J32" i="1"/>
  <c r="L28" i="1"/>
  <c r="L31" i="1"/>
  <c r="L32" i="1"/>
  <c r="N28" i="1"/>
  <c r="N31" i="1"/>
  <c r="N32" i="1"/>
  <c r="P28" i="1"/>
  <c r="P31" i="1"/>
  <c r="P32" i="1"/>
  <c r="R28" i="1"/>
  <c r="R31" i="1"/>
  <c r="R32" i="1"/>
  <c r="T28" i="1"/>
  <c r="T31" i="1"/>
  <c r="T32" i="1"/>
  <c r="V28" i="1"/>
  <c r="V31" i="1"/>
  <c r="V32" i="1"/>
  <c r="X28" i="1"/>
  <c r="X31" i="1"/>
  <c r="X32" i="1"/>
  <c r="Z28" i="1"/>
  <c r="Z31" i="1"/>
  <c r="Z32" i="1"/>
  <c r="F54" i="1"/>
  <c r="B54" i="1" s="1"/>
  <c r="J55" i="1"/>
  <c r="L55" i="1"/>
  <c r="N55" i="1"/>
  <c r="P55" i="1"/>
  <c r="R55" i="1"/>
  <c r="T55" i="1"/>
  <c r="V55" i="1"/>
  <c r="X55" i="1"/>
  <c r="Z55" i="1"/>
  <c r="Z45" i="1"/>
  <c r="Z47" i="1"/>
  <c r="Z48" i="1"/>
  <c r="Z49" i="1"/>
  <c r="Z50" i="1"/>
  <c r="Z51" i="1"/>
  <c r="Z52" i="1"/>
  <c r="Z53" i="1"/>
  <c r="Z41" i="1"/>
  <c r="Z18" i="1"/>
  <c r="Z19" i="1"/>
  <c r="Z20" i="1"/>
  <c r="Z21" i="1"/>
  <c r="Z16" i="1"/>
  <c r="X45" i="1"/>
  <c r="X47" i="1"/>
  <c r="X48" i="1"/>
  <c r="X49" i="1"/>
  <c r="X50" i="1"/>
  <c r="X51" i="1"/>
  <c r="X52" i="1"/>
  <c r="X53" i="1"/>
  <c r="X41" i="1"/>
  <c r="X38" i="1"/>
  <c r="X26" i="1"/>
  <c r="X18" i="1"/>
  <c r="X19" i="1"/>
  <c r="X20" i="1"/>
  <c r="X21" i="1"/>
  <c r="X16" i="1"/>
  <c r="X37" i="1"/>
  <c r="V45" i="1"/>
  <c r="V47" i="1"/>
  <c r="V48" i="1"/>
  <c r="V49" i="1"/>
  <c r="V50" i="1"/>
  <c r="V51" i="1"/>
  <c r="V52" i="1"/>
  <c r="V53" i="1"/>
  <c r="V41" i="1"/>
  <c r="V38" i="1"/>
  <c r="V26" i="1"/>
  <c r="V18" i="1"/>
  <c r="V19" i="1"/>
  <c r="V20" i="1"/>
  <c r="V21" i="1"/>
  <c r="V16" i="1"/>
  <c r="V37" i="1"/>
  <c r="T45" i="1"/>
  <c r="T47" i="1"/>
  <c r="T48" i="1"/>
  <c r="T49" i="1"/>
  <c r="T50" i="1"/>
  <c r="T51" i="1"/>
  <c r="T52" i="1"/>
  <c r="T53" i="1"/>
  <c r="T41" i="1"/>
  <c r="T38" i="1"/>
  <c r="T26" i="1"/>
  <c r="T18" i="1"/>
  <c r="T19" i="1"/>
  <c r="T20" i="1"/>
  <c r="T21" i="1"/>
  <c r="T16" i="1"/>
  <c r="T37" i="1"/>
  <c r="R45" i="1"/>
  <c r="R47" i="1"/>
  <c r="R48" i="1"/>
  <c r="R49" i="1"/>
  <c r="R50" i="1"/>
  <c r="R51" i="1"/>
  <c r="R52" i="1"/>
  <c r="R53" i="1"/>
  <c r="R41" i="1"/>
  <c r="R38" i="1"/>
  <c r="R26" i="1"/>
  <c r="R18" i="1"/>
  <c r="R19" i="1"/>
  <c r="R20" i="1"/>
  <c r="R21" i="1"/>
  <c r="R16" i="1"/>
  <c r="R37" i="1"/>
  <c r="P45" i="1"/>
  <c r="P47" i="1"/>
  <c r="P48" i="1"/>
  <c r="P49" i="1"/>
  <c r="P50" i="1"/>
  <c r="P51" i="1"/>
  <c r="P52" i="1"/>
  <c r="P53" i="1"/>
  <c r="P41" i="1"/>
  <c r="P38" i="1"/>
  <c r="P26" i="1"/>
  <c r="P18" i="1"/>
  <c r="P19" i="1"/>
  <c r="P20" i="1"/>
  <c r="P21" i="1"/>
  <c r="P16" i="1"/>
  <c r="P37" i="1"/>
  <c r="H26" i="1"/>
  <c r="J26" i="1"/>
  <c r="L26" i="1"/>
  <c r="N26" i="1"/>
  <c r="H38" i="1"/>
  <c r="J38" i="1"/>
  <c r="L38" i="1"/>
  <c r="N38" i="1"/>
  <c r="H45" i="1"/>
  <c r="H47" i="1"/>
  <c r="H48" i="1"/>
  <c r="H49" i="1"/>
  <c r="H50" i="1"/>
  <c r="H51" i="1"/>
  <c r="H52" i="1"/>
  <c r="H53" i="1"/>
  <c r="J45" i="1"/>
  <c r="J47" i="1"/>
  <c r="J48" i="1"/>
  <c r="J49" i="1"/>
  <c r="J50" i="1"/>
  <c r="J51" i="1"/>
  <c r="J52" i="1"/>
  <c r="J53" i="1"/>
  <c r="L45" i="1"/>
  <c r="L47" i="1"/>
  <c r="L48" i="1"/>
  <c r="L49" i="1"/>
  <c r="L50" i="1"/>
  <c r="L51" i="1"/>
  <c r="L52" i="1"/>
  <c r="L53" i="1"/>
  <c r="N45" i="1"/>
  <c r="N47" i="1"/>
  <c r="N48" i="1"/>
  <c r="N49" i="1"/>
  <c r="N50" i="1"/>
  <c r="N51" i="1"/>
  <c r="N52" i="1"/>
  <c r="N53" i="1"/>
  <c r="H41" i="1"/>
  <c r="J41" i="1"/>
  <c r="L41" i="1"/>
  <c r="N41" i="1"/>
  <c r="H18" i="1"/>
  <c r="J18" i="1"/>
  <c r="L18" i="1"/>
  <c r="N18" i="1"/>
  <c r="N19" i="1"/>
  <c r="N20" i="1"/>
  <c r="N21" i="1"/>
  <c r="N16" i="1"/>
  <c r="N37" i="1"/>
  <c r="H19" i="1"/>
  <c r="J19" i="1"/>
  <c r="L19" i="1"/>
  <c r="H20" i="1"/>
  <c r="J20" i="1"/>
  <c r="L20" i="1"/>
  <c r="H21" i="1"/>
  <c r="J21" i="1"/>
  <c r="L21" i="1"/>
  <c r="H16" i="1"/>
  <c r="J16" i="1"/>
  <c r="L16" i="1"/>
  <c r="H37" i="1"/>
  <c r="J37" i="1"/>
  <c r="L37" i="1"/>
  <c r="F35" i="1"/>
  <c r="D56" i="1"/>
  <c r="D22" i="1"/>
  <c r="D24" i="1" s="1"/>
  <c r="F36" i="1"/>
  <c r="B36" i="1" s="1"/>
  <c r="B35" i="1"/>
  <c r="D18" i="4"/>
  <c r="B18" i="4" s="1"/>
  <c r="P19" i="4"/>
  <c r="O19" i="4"/>
  <c r="N19" i="4"/>
  <c r="M19" i="4"/>
  <c r="L19" i="4"/>
  <c r="K19" i="4"/>
  <c r="J19" i="4"/>
  <c r="I19" i="4"/>
  <c r="H19" i="4"/>
  <c r="E19" i="4"/>
  <c r="D9" i="4"/>
  <c r="D10" i="4"/>
  <c r="B10" i="4" s="1"/>
  <c r="D11" i="4"/>
  <c r="B11" i="4" s="1"/>
  <c r="D12" i="4"/>
  <c r="B12" i="4" s="1"/>
  <c r="D13" i="4"/>
  <c r="B13" i="4" s="1"/>
  <c r="D14" i="4"/>
  <c r="B14" i="4" s="1"/>
  <c r="D15" i="4"/>
  <c r="B15" i="4" s="1"/>
  <c r="D16" i="4"/>
  <c r="B16" i="4" s="1"/>
  <c r="D17" i="4"/>
  <c r="B17" i="4" s="1"/>
  <c r="C19" i="4"/>
  <c r="G19" i="4"/>
  <c r="F19" i="4"/>
  <c r="O7" i="4"/>
  <c r="N7" i="4"/>
  <c r="M7" i="4"/>
  <c r="L7" i="4"/>
  <c r="K7" i="4"/>
  <c r="J7" i="4"/>
  <c r="H7" i="4"/>
  <c r="B7" i="4"/>
  <c r="O6" i="4"/>
  <c r="N6" i="4"/>
  <c r="M6" i="4"/>
  <c r="L6" i="4"/>
  <c r="K6" i="4"/>
  <c r="J6" i="4"/>
  <c r="H6" i="4"/>
  <c r="B6" i="4"/>
  <c r="N5" i="4"/>
  <c r="F42" i="8"/>
  <c r="F38" i="8"/>
  <c r="F29" i="8"/>
  <c r="F22" i="8"/>
  <c r="D42" i="8"/>
  <c r="D29" i="8"/>
  <c r="D22" i="8"/>
  <c r="F42" i="2"/>
  <c r="B42" i="2" s="1"/>
  <c r="D33" i="2"/>
  <c r="H32" i="2"/>
  <c r="H33" i="2" s="1"/>
  <c r="J32" i="2"/>
  <c r="J33" i="2" s="1"/>
  <c r="L32" i="2"/>
  <c r="N32" i="2"/>
  <c r="N33" i="2" s="1"/>
  <c r="P32" i="2"/>
  <c r="P33" i="2" s="1"/>
  <c r="R32" i="2"/>
  <c r="R33" i="2" s="1"/>
  <c r="T32" i="2"/>
  <c r="T33" i="2" s="1"/>
  <c r="V32" i="2"/>
  <c r="V33" i="2" s="1"/>
  <c r="X32" i="2"/>
  <c r="X33" i="2" s="1"/>
  <c r="Z32" i="2"/>
  <c r="Z33" i="2" s="1"/>
  <c r="F31" i="2"/>
  <c r="B31" i="2" s="1"/>
  <c r="F30" i="2"/>
  <c r="B30" i="2" s="1"/>
  <c r="D48" i="2"/>
  <c r="D20" i="2"/>
  <c r="H48" i="2"/>
  <c r="H20" i="2"/>
  <c r="J48" i="2"/>
  <c r="J20" i="2"/>
  <c r="L48" i="2"/>
  <c r="L20" i="2"/>
  <c r="N48" i="2"/>
  <c r="N20" i="2"/>
  <c r="P48" i="2"/>
  <c r="P20" i="2"/>
  <c r="R48" i="2"/>
  <c r="R20" i="2"/>
  <c r="T48" i="2"/>
  <c r="T20" i="2"/>
  <c r="V48" i="2"/>
  <c r="V20" i="2"/>
  <c r="X48" i="2"/>
  <c r="X20" i="2"/>
  <c r="Z48" i="2"/>
  <c r="Z20" i="2"/>
  <c r="F43" i="2"/>
  <c r="B43" i="2" s="1"/>
  <c r="F41" i="2"/>
  <c r="B41" i="2" s="1"/>
  <c r="F39" i="2"/>
  <c r="B39" i="2" s="1"/>
  <c r="F37" i="2"/>
  <c r="B37" i="2" s="1"/>
  <c r="F28" i="2"/>
  <c r="B28" i="2" s="1"/>
  <c r="F29" i="2"/>
  <c r="B29" i="2" s="1"/>
  <c r="F24" i="2"/>
  <c r="B24" i="2" s="1"/>
  <c r="F23" i="2"/>
  <c r="B23" i="2" s="1"/>
  <c r="F22" i="2"/>
  <c r="B22" i="2" s="1"/>
  <c r="F27" i="2"/>
  <c r="B27" i="2" s="1"/>
  <c r="F16" i="2"/>
  <c r="B16" i="2" s="1"/>
  <c r="F17" i="2"/>
  <c r="B17" i="2" s="1"/>
  <c r="F18" i="2"/>
  <c r="B18" i="2" s="1"/>
  <c r="F19" i="2"/>
  <c r="B19" i="2" s="1"/>
  <c r="F15" i="2"/>
  <c r="B15" i="2" s="1"/>
  <c r="Z46" i="2"/>
  <c r="X46" i="2"/>
  <c r="V46" i="2"/>
  <c r="T46" i="2"/>
  <c r="R46" i="2"/>
  <c r="P46" i="2"/>
  <c r="N46" i="2"/>
  <c r="L46" i="2"/>
  <c r="J46" i="2"/>
  <c r="H46" i="2"/>
  <c r="Z45" i="2"/>
  <c r="X45" i="2"/>
  <c r="V45" i="2"/>
  <c r="T45" i="2"/>
  <c r="R45" i="2"/>
  <c r="P45" i="2"/>
  <c r="N45" i="2"/>
  <c r="L45" i="2"/>
  <c r="J45" i="2"/>
  <c r="H45" i="2"/>
  <c r="Z44" i="2"/>
  <c r="X44" i="2"/>
  <c r="V44" i="2"/>
  <c r="T44" i="2"/>
  <c r="R44" i="2"/>
  <c r="P44" i="2"/>
  <c r="N44" i="2"/>
  <c r="L44" i="2"/>
  <c r="J44" i="2"/>
  <c r="H44" i="2"/>
  <c r="D46" i="2"/>
  <c r="D45" i="2"/>
  <c r="B45" i="2" s="1"/>
  <c r="D44" i="2"/>
  <c r="F47" i="2"/>
  <c r="F38" i="2"/>
  <c r="B38" i="2" s="1"/>
  <c r="E14" i="7"/>
  <c r="E22" i="7"/>
  <c r="G14" i="7"/>
  <c r="G22" i="7"/>
  <c r="C14" i="7"/>
  <c r="C22" i="7"/>
  <c r="M14" i="7"/>
  <c r="M22" i="7"/>
  <c r="K14" i="7"/>
  <c r="K22" i="7"/>
  <c r="O6" i="7"/>
  <c r="H21" i="3"/>
  <c r="H39" i="3"/>
  <c r="H52" i="3"/>
  <c r="H68" i="3"/>
  <c r="M21" i="3"/>
  <c r="M26" i="3" s="1"/>
  <c r="M39" i="3"/>
  <c r="M52" i="3"/>
  <c r="M68" i="3"/>
  <c r="O21" i="3"/>
  <c r="O74" i="3" s="1"/>
  <c r="O39" i="3"/>
  <c r="O52" i="3"/>
  <c r="O68" i="3"/>
  <c r="Q21" i="3"/>
  <c r="Q26" i="3" s="1"/>
  <c r="AF26" i="3" s="1"/>
  <c r="Q39" i="3"/>
  <c r="AF39" i="3" s="1"/>
  <c r="Q52" i="3"/>
  <c r="AF52" i="3" s="1"/>
  <c r="Q68" i="3"/>
  <c r="AF68" i="3" s="1"/>
  <c r="S21" i="3"/>
  <c r="S39" i="3"/>
  <c r="S52" i="3"/>
  <c r="S68" i="3"/>
  <c r="U21" i="3"/>
  <c r="U39" i="3"/>
  <c r="U52" i="3"/>
  <c r="U68" i="3"/>
  <c r="W21" i="3"/>
  <c r="W39" i="3"/>
  <c r="W52" i="3"/>
  <c r="AE52" i="3" s="1"/>
  <c r="W68" i="3"/>
  <c r="Y21" i="3"/>
  <c r="Y26" i="3" s="1"/>
  <c r="Y39" i="3"/>
  <c r="Y52" i="3"/>
  <c r="Y68" i="3"/>
  <c r="AA21" i="3"/>
  <c r="AA39" i="3"/>
  <c r="AA52" i="3"/>
  <c r="AA68" i="3"/>
  <c r="AC21" i="3"/>
  <c r="AC74" i="3" s="1"/>
  <c r="AC39" i="3"/>
  <c r="AC52" i="3"/>
  <c r="AC68" i="3"/>
  <c r="D21" i="3"/>
  <c r="AH21" i="3" s="1"/>
  <c r="D39" i="3"/>
  <c r="AH39" i="3" s="1"/>
  <c r="D52" i="3"/>
  <c r="AH52" i="3" s="1"/>
  <c r="D68" i="3"/>
  <c r="AH68" i="3" s="1"/>
  <c r="B70" i="3"/>
  <c r="F17" i="3"/>
  <c r="B17" i="3" s="1"/>
  <c r="F18" i="3"/>
  <c r="F19" i="3"/>
  <c r="B19" i="3" s="1"/>
  <c r="F20" i="3"/>
  <c r="B20" i="3" s="1"/>
  <c r="F30" i="3"/>
  <c r="B30" i="3" s="1"/>
  <c r="F31" i="3"/>
  <c r="B31" i="3" s="1"/>
  <c r="F32" i="3"/>
  <c r="B32" i="3" s="1"/>
  <c r="F42" i="3"/>
  <c r="B42" i="3" s="1"/>
  <c r="F46" i="3"/>
  <c r="B46" i="3" s="1"/>
  <c r="F48" i="3"/>
  <c r="B48" i="3" s="1"/>
  <c r="F49" i="3"/>
  <c r="B49" i="3" s="1"/>
  <c r="F50" i="3"/>
  <c r="B50" i="3" s="1"/>
  <c r="F57" i="3"/>
  <c r="B57" i="3" s="1"/>
  <c r="F58" i="3"/>
  <c r="B58" i="3" s="1"/>
  <c r="F59" i="3"/>
  <c r="B59" i="3" s="1"/>
  <c r="F60" i="3"/>
  <c r="B60" i="3" s="1"/>
  <c r="F61" i="3"/>
  <c r="B61" i="3" s="1"/>
  <c r="F62" i="3"/>
  <c r="B62" i="3" s="1"/>
  <c r="F63" i="3"/>
  <c r="B63" i="3" s="1"/>
  <c r="F64" i="3"/>
  <c r="B64" i="3" s="1"/>
  <c r="F65" i="3"/>
  <c r="B65" i="3" s="1"/>
  <c r="F66" i="3"/>
  <c r="B66" i="3" s="1"/>
  <c r="AE66" i="3"/>
  <c r="AG66" i="3"/>
  <c r="AF66" i="3"/>
  <c r="F67" i="3"/>
  <c r="B67" i="3" s="1"/>
  <c r="AE67" i="3"/>
  <c r="AF67" i="3"/>
  <c r="AG67" i="3"/>
  <c r="AH67" i="3"/>
  <c r="I68" i="3"/>
  <c r="J68" i="3"/>
  <c r="K68" i="3"/>
  <c r="AE65" i="3"/>
  <c r="AF65" i="3"/>
  <c r="AG65" i="3"/>
  <c r="AH65" i="3"/>
  <c r="F51" i="3"/>
  <c r="B51" i="3" s="1"/>
  <c r="B47" i="3"/>
  <c r="J21" i="3"/>
  <c r="J39" i="3"/>
  <c r="J52" i="3"/>
  <c r="K21" i="3"/>
  <c r="K26" i="3" s="1"/>
  <c r="K39" i="3"/>
  <c r="K52" i="3"/>
  <c r="B93" i="3"/>
  <c r="B94" i="3" s="1"/>
  <c r="AC54" i="3"/>
  <c r="W85" i="3"/>
  <c r="AC38" i="3"/>
  <c r="AC78" i="3"/>
  <c r="W88" i="3" s="1"/>
  <c r="U54" i="3"/>
  <c r="U25" i="3"/>
  <c r="AG25" i="3" s="1"/>
  <c r="U85" i="3"/>
  <c r="U38" i="3"/>
  <c r="U78" i="3"/>
  <c r="U88" i="3" s="1"/>
  <c r="S54" i="3"/>
  <c r="S79" i="3"/>
  <c r="S85" i="3" s="1"/>
  <c r="S38" i="3"/>
  <c r="S78" i="3"/>
  <c r="S88" i="3" s="1"/>
  <c r="Q85" i="3"/>
  <c r="Q78" i="3"/>
  <c r="Q88" i="3" s="1"/>
  <c r="O78" i="3"/>
  <c r="O88" i="3" s="1"/>
  <c r="M74" i="3"/>
  <c r="M84" i="3" s="1"/>
  <c r="M85" i="3"/>
  <c r="M75" i="3"/>
  <c r="M87" i="3" s="1"/>
  <c r="M89" i="3" s="1"/>
  <c r="AF72" i="3"/>
  <c r="I33" i="3"/>
  <c r="J33" i="3"/>
  <c r="I34" i="3"/>
  <c r="H34" i="3" s="1"/>
  <c r="I35" i="3"/>
  <c r="J35" i="3"/>
  <c r="I38" i="3"/>
  <c r="H38" i="3" s="1"/>
  <c r="H36" i="3"/>
  <c r="J25" i="3"/>
  <c r="H25" i="3" s="1"/>
  <c r="J24" i="3"/>
  <c r="H24" i="3" s="1"/>
  <c r="I53" i="3"/>
  <c r="H53" i="3" s="1"/>
  <c r="H27" i="3"/>
  <c r="AE27" i="3" s="1"/>
  <c r="I54" i="3"/>
  <c r="J54" i="3"/>
  <c r="W25" i="3"/>
  <c r="M38" i="3"/>
  <c r="M54" i="3"/>
  <c r="D34" i="3"/>
  <c r="AH34" i="3" s="1"/>
  <c r="D35" i="3"/>
  <c r="AH35" i="3" s="1"/>
  <c r="D38" i="3"/>
  <c r="AH38" i="3" s="1"/>
  <c r="D36" i="3"/>
  <c r="AH36" i="3" s="1"/>
  <c r="D25" i="3"/>
  <c r="AH25" i="3" s="1"/>
  <c r="D27" i="3"/>
  <c r="D54" i="3"/>
  <c r="AH54" i="3" s="1"/>
  <c r="I21" i="3"/>
  <c r="I26" i="3" s="1"/>
  <c r="I39" i="3"/>
  <c r="I52" i="3"/>
  <c r="AE50" i="3"/>
  <c r="AF50" i="3"/>
  <c r="AG50" i="3"/>
  <c r="AH50" i="3"/>
  <c r="AE70" i="3"/>
  <c r="AF70" i="3"/>
  <c r="AG70" i="3"/>
  <c r="AH70" i="3"/>
  <c r="AE64" i="3"/>
  <c r="AF64" i="3"/>
  <c r="AG64" i="3"/>
  <c r="AH64" i="3"/>
  <c r="AE63" i="3"/>
  <c r="AF63" i="3"/>
  <c r="AG63" i="3"/>
  <c r="AH63" i="3"/>
  <c r="AE62" i="3"/>
  <c r="AF62" i="3"/>
  <c r="AG62" i="3"/>
  <c r="AH62" i="3"/>
  <c r="AE61" i="3"/>
  <c r="AF61" i="3"/>
  <c r="AG61" i="3"/>
  <c r="AH61" i="3"/>
  <c r="AE60" i="3"/>
  <c r="AF60" i="3"/>
  <c r="AG60" i="3"/>
  <c r="AH60" i="3"/>
  <c r="AE59" i="3"/>
  <c r="AF59" i="3"/>
  <c r="AG59" i="3"/>
  <c r="AH59" i="3"/>
  <c r="AE58" i="3"/>
  <c r="AF58" i="3"/>
  <c r="AG58" i="3"/>
  <c r="AH58" i="3"/>
  <c r="AE57" i="3"/>
  <c r="AF57" i="3"/>
  <c r="AG57" i="3"/>
  <c r="AH57" i="3"/>
  <c r="AF54" i="3"/>
  <c r="AF53" i="3"/>
  <c r="AG53" i="3"/>
  <c r="AH53" i="3"/>
  <c r="AE51" i="3"/>
  <c r="AF51" i="3"/>
  <c r="AG51" i="3"/>
  <c r="AH51" i="3"/>
  <c r="AE49" i="3"/>
  <c r="AF49" i="3"/>
  <c r="AG49" i="3"/>
  <c r="AH49" i="3"/>
  <c r="AE48" i="3"/>
  <c r="AF48" i="3"/>
  <c r="AG48" i="3"/>
  <c r="AH48" i="3"/>
  <c r="AE46" i="3"/>
  <c r="AF46" i="3"/>
  <c r="AG46" i="3"/>
  <c r="AH46" i="3"/>
  <c r="AE42" i="3"/>
  <c r="AF42" i="3"/>
  <c r="AG42" i="3"/>
  <c r="AH42" i="3"/>
  <c r="AF38" i="3"/>
  <c r="H37" i="3"/>
  <c r="AE37" i="3" s="1"/>
  <c r="AF37" i="3"/>
  <c r="AG37" i="3"/>
  <c r="AH37" i="3"/>
  <c r="AE36" i="3"/>
  <c r="AF36" i="3"/>
  <c r="AG36" i="3"/>
  <c r="F36" i="3"/>
  <c r="AF35" i="3"/>
  <c r="AG35" i="3"/>
  <c r="AF34" i="3"/>
  <c r="AG34" i="3"/>
  <c r="AF33" i="3"/>
  <c r="AG33" i="3"/>
  <c r="AH33" i="3"/>
  <c r="AE32" i="3"/>
  <c r="AF32" i="3"/>
  <c r="AG32" i="3"/>
  <c r="AH32" i="3"/>
  <c r="AE31" i="3"/>
  <c r="AF31" i="3"/>
  <c r="AG31" i="3"/>
  <c r="AH31" i="3"/>
  <c r="AE30" i="3"/>
  <c r="AF30" i="3"/>
  <c r="AG30" i="3"/>
  <c r="AH30" i="3"/>
  <c r="AF27" i="3"/>
  <c r="AG27" i="3"/>
  <c r="S26" i="3"/>
  <c r="AA26" i="3"/>
  <c r="F23" i="3"/>
  <c r="B23" i="3" s="1"/>
  <c r="AF25" i="3"/>
  <c r="AF24" i="3"/>
  <c r="AG24" i="3"/>
  <c r="AH24" i="3"/>
  <c r="AE23" i="3"/>
  <c r="AF23" i="3"/>
  <c r="AG23" i="3"/>
  <c r="AH23" i="3"/>
  <c r="AE22" i="3"/>
  <c r="AF22" i="3"/>
  <c r="AG22" i="3"/>
  <c r="AH22" i="3"/>
  <c r="AF21" i="3"/>
  <c r="AE20" i="3"/>
  <c r="AF20" i="3"/>
  <c r="AG20" i="3"/>
  <c r="AH20" i="3"/>
  <c r="AE19" i="3"/>
  <c r="AF19" i="3"/>
  <c r="AG19" i="3"/>
  <c r="AH19" i="3"/>
  <c r="AE18" i="3"/>
  <c r="AF18" i="3"/>
  <c r="AG18" i="3"/>
  <c r="AH18" i="3"/>
  <c r="AE17" i="3"/>
  <c r="AF17" i="3"/>
  <c r="AG17" i="3"/>
  <c r="AH17" i="3"/>
  <c r="B9" i="4"/>
  <c r="F27" i="3"/>
  <c r="I14" i="7"/>
  <c r="AE68" i="3" l="1"/>
  <c r="U24" i="9"/>
  <c r="U27" i="9" s="1"/>
  <c r="O27" i="9"/>
  <c r="G23" i="7"/>
  <c r="F21" i="3"/>
  <c r="F20" i="2"/>
  <c r="E23" i="7"/>
  <c r="L22" i="1"/>
  <c r="L24" i="1" s="1"/>
  <c r="F34" i="3"/>
  <c r="B34" i="3" s="1"/>
  <c r="AE34" i="3"/>
  <c r="AI34" i="3" s="1"/>
  <c r="AE24" i="3"/>
  <c r="AI24" i="3" s="1"/>
  <c r="F24" i="3"/>
  <c r="B24" i="3" s="1"/>
  <c r="AC26" i="3"/>
  <c r="AI18" i="3"/>
  <c r="B36" i="3"/>
  <c r="AI62" i="3"/>
  <c r="M86" i="3"/>
  <c r="Q74" i="3"/>
  <c r="Q84" i="3" s="1"/>
  <c r="Q86" i="3" s="1"/>
  <c r="AC40" i="3"/>
  <c r="AC43" i="3" s="1"/>
  <c r="AC69" i="3" s="1"/>
  <c r="AC71" i="3" s="1"/>
  <c r="D49" i="2"/>
  <c r="D51" i="2" s="1"/>
  <c r="P34" i="2"/>
  <c r="F52" i="3"/>
  <c r="I40" i="3"/>
  <c r="I43" i="3" s="1"/>
  <c r="I69" i="3" s="1"/>
  <c r="I71" i="3" s="1"/>
  <c r="AA40" i="3"/>
  <c r="AA43" i="3" s="1"/>
  <c r="Y40" i="3"/>
  <c r="Y43" i="3" s="1"/>
  <c r="Y69" i="3" s="1"/>
  <c r="Y71" i="3" s="1"/>
  <c r="AE39" i="3"/>
  <c r="AI23" i="3"/>
  <c r="O26" i="3"/>
  <c r="AI63" i="3"/>
  <c r="AG38" i="3"/>
  <c r="U75" i="3"/>
  <c r="U87" i="3" s="1"/>
  <c r="U89" i="3" s="1"/>
  <c r="F28" i="1"/>
  <c r="B28" i="1" s="1"/>
  <c r="C28" i="9"/>
  <c r="C30" i="9" s="1"/>
  <c r="AI42" i="3"/>
  <c r="AI58" i="3"/>
  <c r="AI22" i="3"/>
  <c r="AI32" i="3"/>
  <c r="F37" i="3"/>
  <c r="B37" i="3" s="1"/>
  <c r="AI61" i="3"/>
  <c r="AI50" i="3"/>
  <c r="H33" i="3"/>
  <c r="M80" i="3"/>
  <c r="M81" i="3" s="1"/>
  <c r="AI65" i="3"/>
  <c r="U40" i="3"/>
  <c r="U43" i="3" s="1"/>
  <c r="U69" i="3" s="1"/>
  <c r="U71" i="3" s="1"/>
  <c r="S40" i="3"/>
  <c r="S43" i="3" s="1"/>
  <c r="Q40" i="3"/>
  <c r="AF40" i="3" s="1"/>
  <c r="H40" i="3"/>
  <c r="J22" i="1"/>
  <c r="J24" i="1" s="1"/>
  <c r="F48" i="1"/>
  <c r="B48" i="1" s="1"/>
  <c r="AI51" i="3"/>
  <c r="AI17" i="3"/>
  <c r="AI19" i="3"/>
  <c r="AI30" i="3"/>
  <c r="AI37" i="3"/>
  <c r="AI57" i="3"/>
  <c r="AI59" i="3"/>
  <c r="AI60" i="3"/>
  <c r="AI20" i="3"/>
  <c r="AI31" i="3"/>
  <c r="AI36" i="3"/>
  <c r="AI46" i="3"/>
  <c r="AI48" i="3"/>
  <c r="AI49" i="3"/>
  <c r="AI64" i="3"/>
  <c r="B27" i="3"/>
  <c r="AG54" i="3"/>
  <c r="H54" i="3"/>
  <c r="H35" i="3"/>
  <c r="F35" i="3" s="1"/>
  <c r="B35" i="3" s="1"/>
  <c r="K40" i="3"/>
  <c r="K43" i="3" s="1"/>
  <c r="K69" i="3" s="1"/>
  <c r="K71" i="3" s="1"/>
  <c r="J26" i="3"/>
  <c r="B39" i="3"/>
  <c r="AG52" i="3"/>
  <c r="AI52" i="3" s="1"/>
  <c r="S75" i="3"/>
  <c r="S87" i="3" s="1"/>
  <c r="S89" i="3" s="1"/>
  <c r="F68" i="3"/>
  <c r="B68" i="3" s="1"/>
  <c r="O75" i="3"/>
  <c r="O87" i="3" s="1"/>
  <c r="O89" i="3" s="1"/>
  <c r="M40" i="3"/>
  <c r="K23" i="7"/>
  <c r="M23" i="7"/>
  <c r="C23" i="7"/>
  <c r="C25" i="7" s="1"/>
  <c r="F45" i="2"/>
  <c r="B20" i="2"/>
  <c r="J34" i="2"/>
  <c r="D34" i="2"/>
  <c r="AE34" i="2" s="1"/>
  <c r="D57" i="1"/>
  <c r="AE57" i="1" s="1"/>
  <c r="F51" i="1"/>
  <c r="B51" i="1" s="1"/>
  <c r="J33" i="1"/>
  <c r="E28" i="9"/>
  <c r="AI70" i="3"/>
  <c r="F38" i="3"/>
  <c r="B38" i="3" s="1"/>
  <c r="AI67" i="3"/>
  <c r="AA69" i="3"/>
  <c r="AA71" i="3" s="1"/>
  <c r="W26" i="3"/>
  <c r="S69" i="3"/>
  <c r="S71" i="3" s="1"/>
  <c r="F48" i="2"/>
  <c r="B48" i="2" s="1"/>
  <c r="O22" i="7"/>
  <c r="F21" i="1"/>
  <c r="B21" i="1" s="1"/>
  <c r="H22" i="1"/>
  <c r="H24" i="1" s="1"/>
  <c r="F41" i="1"/>
  <c r="B41" i="1" s="1"/>
  <c r="N56" i="1"/>
  <c r="H56" i="1"/>
  <c r="F50" i="1"/>
  <c r="B50" i="1" s="1"/>
  <c r="T56" i="1"/>
  <c r="V22" i="1"/>
  <c r="V24" i="1" s="1"/>
  <c r="X22" i="1"/>
  <c r="X24" i="1" s="1"/>
  <c r="V33" i="1"/>
  <c r="N33" i="1"/>
  <c r="F32" i="1"/>
  <c r="B32" i="1" s="1"/>
  <c r="F32" i="2"/>
  <c r="B32" i="2" s="1"/>
  <c r="F16" i="1"/>
  <c r="B16" i="1" s="1"/>
  <c r="F20" i="1"/>
  <c r="B20" i="1" s="1"/>
  <c r="F18" i="1"/>
  <c r="B18" i="1" s="1"/>
  <c r="F52" i="1"/>
  <c r="B52" i="1" s="1"/>
  <c r="F47" i="1"/>
  <c r="B47" i="1" s="1"/>
  <c r="X33" i="1"/>
  <c r="P33" i="1"/>
  <c r="F31" i="1"/>
  <c r="B31" i="1" s="1"/>
  <c r="F53" i="3"/>
  <c r="B53" i="3" s="1"/>
  <c r="AE53" i="3"/>
  <c r="AI53" i="3" s="1"/>
  <c r="AE35" i="3"/>
  <c r="AI35" i="3" s="1"/>
  <c r="M43" i="3"/>
  <c r="V49" i="2"/>
  <c r="V51" i="2" s="1"/>
  <c r="V34" i="2"/>
  <c r="N34" i="2"/>
  <c r="AC34" i="2" s="1"/>
  <c r="N49" i="2"/>
  <c r="N51" i="2" s="1"/>
  <c r="F25" i="3"/>
  <c r="B25" i="3" s="1"/>
  <c r="AE25" i="3"/>
  <c r="AI25" i="3" s="1"/>
  <c r="X49" i="2"/>
  <c r="X51" i="2" s="1"/>
  <c r="X34" i="2"/>
  <c r="AE54" i="3"/>
  <c r="F54" i="3"/>
  <c r="B54" i="3" s="1"/>
  <c r="Z49" i="2"/>
  <c r="Z51" i="2" s="1"/>
  <c r="Z34" i="2"/>
  <c r="Q43" i="3"/>
  <c r="O84" i="3"/>
  <c r="O86" i="3" s="1"/>
  <c r="O80" i="3"/>
  <c r="O81" i="3" s="1"/>
  <c r="H43" i="3"/>
  <c r="B52" i="3"/>
  <c r="O14" i="7"/>
  <c r="M90" i="3"/>
  <c r="M91" i="3" s="1"/>
  <c r="B19" i="4"/>
  <c r="P49" i="2"/>
  <c r="P51" i="2" s="1"/>
  <c r="R56" i="1"/>
  <c r="V56" i="1"/>
  <c r="AG21" i="3"/>
  <c r="D40" i="3"/>
  <c r="AG39" i="3"/>
  <c r="J40" i="3"/>
  <c r="J43" i="3" s="1"/>
  <c r="J69" i="3" s="1"/>
  <c r="J71" i="3" s="1"/>
  <c r="B18" i="3"/>
  <c r="Q75" i="3"/>
  <c r="AG68" i="3"/>
  <c r="AI68" i="3" s="1"/>
  <c r="O40" i="3"/>
  <c r="O43" i="3" s="1"/>
  <c r="O69" i="3" s="1"/>
  <c r="O71" i="3" s="1"/>
  <c r="AE21" i="3"/>
  <c r="AI21" i="3" s="1"/>
  <c r="L33" i="2"/>
  <c r="F33" i="2" s="1"/>
  <c r="F38" i="1"/>
  <c r="B38" i="1" s="1"/>
  <c r="P22" i="1"/>
  <c r="P24" i="1" s="1"/>
  <c r="X56" i="1"/>
  <c r="F55" i="1"/>
  <c r="B55" i="1" s="1"/>
  <c r="O18" i="9"/>
  <c r="H26" i="3"/>
  <c r="I22" i="7"/>
  <c r="I23" i="7" s="1"/>
  <c r="I25" i="7" s="1"/>
  <c r="U26" i="3"/>
  <c r="AG26" i="3" s="1"/>
  <c r="W84" i="3"/>
  <c r="W86" i="3" s="1"/>
  <c r="J49" i="2"/>
  <c r="J51" i="2" s="1"/>
  <c r="AH27" i="3"/>
  <c r="AI27" i="3" s="1"/>
  <c r="S74" i="3"/>
  <c r="AC75" i="3"/>
  <c r="W87" i="3" s="1"/>
  <c r="W89" i="3" s="1"/>
  <c r="F39" i="3"/>
  <c r="F40" i="3" s="1"/>
  <c r="F43" i="3" s="1"/>
  <c r="F44" i="2"/>
  <c r="B44" i="2" s="1"/>
  <c r="F37" i="1"/>
  <c r="B37" i="1" s="1"/>
  <c r="P56" i="1"/>
  <c r="Z56" i="1"/>
  <c r="Z33" i="1"/>
  <c r="R33" i="1"/>
  <c r="H33" i="1"/>
  <c r="J56" i="1"/>
  <c r="F53" i="1"/>
  <c r="B53" i="1" s="1"/>
  <c r="AE38" i="3"/>
  <c r="U74" i="3"/>
  <c r="F45" i="1"/>
  <c r="B45" i="1" s="1"/>
  <c r="F26" i="1"/>
  <c r="B26" i="1" s="1"/>
  <c r="Z22" i="1"/>
  <c r="Z24" i="1" s="1"/>
  <c r="D19" i="4"/>
  <c r="W40" i="3"/>
  <c r="W43" i="3" s="1"/>
  <c r="W69" i="3" s="1"/>
  <c r="W71" i="3" s="1"/>
  <c r="F46" i="2"/>
  <c r="B46" i="2" s="1"/>
  <c r="F19" i="1"/>
  <c r="B19" i="1" s="1"/>
  <c r="N22" i="1"/>
  <c r="N24" i="1" s="1"/>
  <c r="L56" i="1"/>
  <c r="R22" i="1"/>
  <c r="R24" i="1" s="1"/>
  <c r="T22" i="1"/>
  <c r="T24" i="1" s="1"/>
  <c r="T33" i="1"/>
  <c r="L33" i="1"/>
  <c r="G28" i="9"/>
  <c r="T34" i="2"/>
  <c r="T49" i="2"/>
  <c r="T51" i="2" s="1"/>
  <c r="H49" i="2"/>
  <c r="H34" i="2"/>
  <c r="R34" i="2"/>
  <c r="R49" i="2"/>
  <c r="R51" i="2" s="1"/>
  <c r="D26" i="3"/>
  <c r="AH26" i="3" s="1"/>
  <c r="F49" i="1"/>
  <c r="B49" i="1" s="1"/>
  <c r="U18" i="9" l="1"/>
  <c r="U19" i="9" s="1"/>
  <c r="U28" i="9" s="1"/>
  <c r="O19" i="9"/>
  <c r="O28" i="9" s="1"/>
  <c r="O30" i="9" s="1"/>
  <c r="AI39" i="3"/>
  <c r="AI38" i="3"/>
  <c r="F26" i="3"/>
  <c r="V57" i="1"/>
  <c r="N57" i="1"/>
  <c r="AC57" i="1" s="1"/>
  <c r="P57" i="1"/>
  <c r="AB34" i="2"/>
  <c r="H57" i="1"/>
  <c r="AE33" i="3"/>
  <c r="AI33" i="3" s="1"/>
  <c r="F33" i="3"/>
  <c r="B33" i="3" s="1"/>
  <c r="B22" i="1"/>
  <c r="B24" i="1" s="1"/>
  <c r="F22" i="1"/>
  <c r="F24" i="1" s="1"/>
  <c r="J57" i="1"/>
  <c r="AE26" i="3"/>
  <c r="X57" i="1"/>
  <c r="O23" i="7"/>
  <c r="O25" i="7" s="1"/>
  <c r="O90" i="3"/>
  <c r="O91" i="3" s="1"/>
  <c r="AI54" i="3"/>
  <c r="R57" i="1"/>
  <c r="AG40" i="3"/>
  <c r="T57" i="1"/>
  <c r="F33" i="1"/>
  <c r="B33" i="1" s="1"/>
  <c r="Z57" i="1"/>
  <c r="U84" i="3"/>
  <c r="U86" i="3" s="1"/>
  <c r="U90" i="3" s="1"/>
  <c r="U91" i="3" s="1"/>
  <c r="U80" i="3"/>
  <c r="U81" i="3" s="1"/>
  <c r="S80" i="3"/>
  <c r="S81" i="3" s="1"/>
  <c r="S84" i="3"/>
  <c r="S86" i="3" s="1"/>
  <c r="S90" i="3" s="1"/>
  <c r="S91" i="3" s="1"/>
  <c r="L49" i="2"/>
  <c r="L51" i="2" s="1"/>
  <c r="L34" i="2"/>
  <c r="AD34" i="2" s="1"/>
  <c r="Q87" i="3"/>
  <c r="Q89" i="3" s="1"/>
  <c r="Q90" i="3" s="1"/>
  <c r="Q91" i="3" s="1"/>
  <c r="Q80" i="3"/>
  <c r="Q81" i="3" s="1"/>
  <c r="D43" i="3"/>
  <c r="AH40" i="3"/>
  <c r="AG43" i="3"/>
  <c r="M69" i="3"/>
  <c r="AE43" i="3"/>
  <c r="H69" i="3"/>
  <c r="AF43" i="3"/>
  <c r="Q69" i="3"/>
  <c r="F56" i="1"/>
  <c r="B56" i="1" s="1"/>
  <c r="L57" i="1"/>
  <c r="W90" i="3"/>
  <c r="W91" i="3" s="1"/>
  <c r="AE40" i="3"/>
  <c r="B21" i="3"/>
  <c r="B40" i="3" s="1"/>
  <c r="B43" i="3" s="1"/>
  <c r="AC79" i="3"/>
  <c r="AC80" i="3" s="1"/>
  <c r="AC81" i="3" s="1"/>
  <c r="AI26" i="3"/>
  <c r="F34" i="2"/>
  <c r="B33" i="2"/>
  <c r="B34" i="2" s="1"/>
  <c r="H51" i="2"/>
  <c r="U30" i="9" l="1"/>
  <c r="AI40" i="3"/>
  <c r="AF34" i="2"/>
  <c r="AB57" i="1"/>
  <c r="AD57" i="1"/>
  <c r="F57" i="1"/>
  <c r="B57" i="1" s="1"/>
  <c r="F49" i="2"/>
  <c r="F51" i="2" s="1"/>
  <c r="B26" i="3"/>
  <c r="AF69" i="3"/>
  <c r="Q71" i="3"/>
  <c r="AF71" i="3" s="1"/>
  <c r="M71" i="3"/>
  <c r="AG71" i="3" s="1"/>
  <c r="AG69" i="3"/>
  <c r="AH43" i="3"/>
  <c r="AI43" i="3" s="1"/>
  <c r="D69" i="3"/>
  <c r="F69" i="3"/>
  <c r="F71" i="3" s="1"/>
  <c r="H71" i="3"/>
  <c r="AE71" i="3" s="1"/>
  <c r="AE69" i="3"/>
  <c r="AF57" i="1" l="1"/>
  <c r="B49" i="2"/>
  <c r="B51" i="2" s="1"/>
  <c r="D71" i="3"/>
  <c r="AH71" i="3" s="1"/>
  <c r="AI71" i="3" s="1"/>
  <c r="B69" i="3"/>
  <c r="B71" i="3" s="1"/>
  <c r="AH69" i="3"/>
  <c r="AI69" i="3" s="1"/>
</calcChain>
</file>

<file path=xl/comments1.xml><?xml version="1.0" encoding="utf-8"?>
<comments xmlns="http://schemas.openxmlformats.org/spreadsheetml/2006/main">
  <authors>
    <author>Ymoreno</author>
  </authors>
  <commentList>
    <comment ref="M54" authorId="0" shapeId="0">
      <text>
        <r>
          <rPr>
            <b/>
            <sz val="8"/>
            <color indexed="81"/>
            <rFont val="Tahoma"/>
            <family val="2"/>
          </rPr>
          <t>Ymoreno:</t>
        </r>
        <r>
          <rPr>
            <sz val="8"/>
            <color indexed="81"/>
            <rFont val="Tahoma"/>
            <family val="2"/>
          </rPr>
          <t xml:space="preserve">
Ajuste impto s/renta 2003 $10852</t>
        </r>
      </text>
    </comment>
    <comment ref="S54" authorId="0" shapeId="0">
      <text>
        <r>
          <rPr>
            <b/>
            <sz val="8"/>
            <color indexed="81"/>
            <rFont val="Tahoma"/>
            <family val="2"/>
          </rPr>
          <t>Ymoreno:</t>
        </r>
        <r>
          <rPr>
            <sz val="8"/>
            <color indexed="81"/>
            <rFont val="Tahoma"/>
            <family val="2"/>
          </rPr>
          <t xml:space="preserve">
Incluye $3,659 dif. En impto s/renta</t>
        </r>
      </text>
    </comment>
  </commentList>
</comments>
</file>

<file path=xl/comments2.xml><?xml version="1.0" encoding="utf-8"?>
<comments xmlns="http://schemas.openxmlformats.org/spreadsheetml/2006/main">
  <authors>
    <author>Ymoreno</author>
  </authors>
  <commentList>
    <comment ref="G17" authorId="0" shapeId="0">
      <text>
        <r>
          <rPr>
            <b/>
            <sz val="8"/>
            <color indexed="81"/>
            <rFont val="Tahoma"/>
            <family val="2"/>
          </rPr>
          <t>Ymoreno:</t>
        </r>
        <r>
          <rPr>
            <sz val="8"/>
            <color indexed="81"/>
            <rFont val="Tahoma"/>
            <family val="2"/>
          </rPr>
          <t xml:space="preserve">
Impto complementario pagado en 2003 $3,029.09, pagado en 2004 $14,297.64
</t>
        </r>
      </text>
    </comment>
  </commentList>
</comments>
</file>

<file path=xl/sharedStrings.xml><?xml version="1.0" encoding="utf-8"?>
<sst xmlns="http://schemas.openxmlformats.org/spreadsheetml/2006/main" count="558" uniqueCount="361">
  <si>
    <t>31 de diciembre de 2004</t>
  </si>
  <si>
    <t>Banco</t>
  </si>
  <si>
    <t>Overseas</t>
  </si>
  <si>
    <t>Cuscatlán</t>
  </si>
  <si>
    <t>Panamericana</t>
  </si>
  <si>
    <t>Panabank</t>
  </si>
  <si>
    <t>Hampton</t>
  </si>
  <si>
    <t>Ameritrade</t>
  </si>
  <si>
    <t>Administradora</t>
  </si>
  <si>
    <t xml:space="preserve">Banca / </t>
  </si>
  <si>
    <t>Puesto</t>
  </si>
  <si>
    <t>de Panamá</t>
  </si>
  <si>
    <t>Eliminaciones</t>
  </si>
  <si>
    <t>de Leasing</t>
  </si>
  <si>
    <t>TLP, S.A.</t>
  </si>
  <si>
    <t>de Valores</t>
  </si>
  <si>
    <t>Panafinanzas</t>
  </si>
  <si>
    <t>Panafactoring</t>
  </si>
  <si>
    <t>Trust Ltd.</t>
  </si>
  <si>
    <t>Funding</t>
  </si>
  <si>
    <t>Finance Corp</t>
  </si>
  <si>
    <t>Ancón</t>
  </si>
  <si>
    <t>Financiera</t>
  </si>
  <si>
    <t>de Bolsa</t>
  </si>
  <si>
    <t>Otros</t>
  </si>
  <si>
    <t>Eliminación</t>
  </si>
  <si>
    <t>Total</t>
  </si>
  <si>
    <t>Total de depósitos en bancos</t>
  </si>
  <si>
    <t>Valores disponibles para la venta</t>
  </si>
  <si>
    <t>Préstamos</t>
  </si>
  <si>
    <t>Menos:</t>
  </si>
  <si>
    <t xml:space="preserve">  Intereses Agregados</t>
  </si>
  <si>
    <t xml:space="preserve">   Prestamos neto</t>
  </si>
  <si>
    <t>Valores en sustitución de préstamos</t>
  </si>
  <si>
    <t>Activos varios:</t>
  </si>
  <si>
    <t>Gastos e impuestos pagados por anticipado</t>
  </si>
  <si>
    <t>Intereses acumulados por cobrar sobre:</t>
  </si>
  <si>
    <t xml:space="preserve">Depósitos </t>
  </si>
  <si>
    <t>Valores</t>
  </si>
  <si>
    <t>Obligaciones de clientes por aceptaciones</t>
  </si>
  <si>
    <t>Deudores varios</t>
  </si>
  <si>
    <t>Otros activos</t>
  </si>
  <si>
    <t>Total de activos varios</t>
  </si>
  <si>
    <t>Total de activos</t>
  </si>
  <si>
    <t>Depósitos:</t>
  </si>
  <si>
    <t xml:space="preserve">  A la vista-locales</t>
  </si>
  <si>
    <t xml:space="preserve">  A la vista-extranjeros</t>
  </si>
  <si>
    <t xml:space="preserve">  De ahorros</t>
  </si>
  <si>
    <t xml:space="preserve">  A plazo fijo- locales</t>
  </si>
  <si>
    <t xml:space="preserve">  A plazo fijo-extranjeros</t>
  </si>
  <si>
    <t>Total de depósitos</t>
  </si>
  <si>
    <t>Bonos</t>
  </si>
  <si>
    <t>Valores vendidos bajo acuerdos de recompra</t>
  </si>
  <si>
    <t>Pasivos varios:</t>
  </si>
  <si>
    <t>Intereses acumulados por pagar</t>
  </si>
  <si>
    <t>Aceptaciones pendientes</t>
  </si>
  <si>
    <t>Impuesto diferido</t>
  </si>
  <si>
    <t>Acreedores varios</t>
  </si>
  <si>
    <t>Total  de pasivos varios</t>
  </si>
  <si>
    <t>Total de pasivos</t>
  </si>
  <si>
    <t>Patrimonio de los accionistas</t>
  </si>
  <si>
    <t xml:space="preserve">  Acciones comunes </t>
  </si>
  <si>
    <t xml:space="preserve">  Capital pagado en exceso</t>
  </si>
  <si>
    <t xml:space="preserve">  Reserva de Capital</t>
  </si>
  <si>
    <t xml:space="preserve">  Utilidades no distribuidas</t>
  </si>
  <si>
    <t xml:space="preserve">  Utilidades del periodo</t>
  </si>
  <si>
    <t xml:space="preserve">  Dividendos pagados acciones preferidas</t>
  </si>
  <si>
    <t>Total de patrimonio de los accionistas</t>
  </si>
  <si>
    <t>Total de pasivos y patrimonio de los accionistas</t>
  </si>
  <si>
    <t>Subtotal</t>
  </si>
  <si>
    <t>Ingresos por intereses y comisiones:</t>
  </si>
  <si>
    <t>Intereses sobre:</t>
  </si>
  <si>
    <t>Depósitos en bancos</t>
  </si>
  <si>
    <t>Comisiones sobre préstamos</t>
  </si>
  <si>
    <t>Total de ingresos por intereses y comisiones</t>
  </si>
  <si>
    <t xml:space="preserve">     Préstamos</t>
  </si>
  <si>
    <t xml:space="preserve">     Cartas de crédito</t>
  </si>
  <si>
    <t xml:space="preserve">     Otras</t>
  </si>
  <si>
    <t xml:space="preserve">  Comisiones</t>
  </si>
  <si>
    <t>Gastos de intereses:</t>
  </si>
  <si>
    <t>Depósitos</t>
  </si>
  <si>
    <t>Intereses DPF Particulares</t>
  </si>
  <si>
    <t>Intereses DPF Bancos</t>
  </si>
  <si>
    <t>Intereses Cta ahorro y Panafund</t>
  </si>
  <si>
    <t>Intereses Bonos</t>
  </si>
  <si>
    <t>Inversiones (Primas) y otros</t>
  </si>
  <si>
    <t>Intereses Financiamientos</t>
  </si>
  <si>
    <t xml:space="preserve">Total de gastos de intereses </t>
  </si>
  <si>
    <t>Ingresos neto de intereses y comisiones</t>
  </si>
  <si>
    <t xml:space="preserve">Provisión para pérdidas en préstamos </t>
  </si>
  <si>
    <t>Ingreso neto de intereses después de provisiones</t>
  </si>
  <si>
    <t>Ingresos (gastos) por servicios bancarios y otros:</t>
  </si>
  <si>
    <t>Honorarios y otras comisiones</t>
  </si>
  <si>
    <t>Gastos por comisiones</t>
  </si>
  <si>
    <t>Otros ingresos</t>
  </si>
  <si>
    <t>Total de ingresos por servicios bancarios y otros, neto</t>
  </si>
  <si>
    <t>Venta de inversiones</t>
  </si>
  <si>
    <t>Gastos generales y administrativos:</t>
  </si>
  <si>
    <t>Sueldos y otras remuneraciones</t>
  </si>
  <si>
    <t>Gastos de personal</t>
  </si>
  <si>
    <t>Honorarios profesionales</t>
  </si>
  <si>
    <t>Alquileres</t>
  </si>
  <si>
    <t>Publicidad</t>
  </si>
  <si>
    <t>Impuestos varios</t>
  </si>
  <si>
    <t>Papelería y útiles de oficina</t>
  </si>
  <si>
    <t>Depreciación y amortización</t>
  </si>
  <si>
    <t>Comunicaciones y correo</t>
  </si>
  <si>
    <t>Mantenimiento y aseo</t>
  </si>
  <si>
    <t xml:space="preserve">Otros </t>
  </si>
  <si>
    <t>Total de gastos generales y administrativos</t>
  </si>
  <si>
    <t>Utilidad antes de impuesto sobre la renta</t>
  </si>
  <si>
    <t>Participación en Afiliadas</t>
  </si>
  <si>
    <t>Utilidad neta</t>
  </si>
  <si>
    <t>Ingresos</t>
  </si>
  <si>
    <t>Gastos</t>
  </si>
  <si>
    <t>Ingresos exentos</t>
  </si>
  <si>
    <t>Gastos no deducibles</t>
  </si>
  <si>
    <t>Provisión</t>
  </si>
  <si>
    <t>Castigos</t>
  </si>
  <si>
    <t>Menos:  exentos y castigos</t>
  </si>
  <si>
    <t>Total de ingresos</t>
  </si>
  <si>
    <t>Menos:  No deducibles</t>
  </si>
  <si>
    <t>Total de gastos</t>
  </si>
  <si>
    <t>Renta gravable</t>
  </si>
  <si>
    <t>Bienes reposeídos</t>
  </si>
  <si>
    <t>Pérdidas en operaciones</t>
  </si>
  <si>
    <t>BANCO CUSCATLAN DE PANAMA, S.A.</t>
  </si>
  <si>
    <t>Información  de Consolidación sobre el Estado de Utilidades no Distribuidas</t>
  </si>
  <si>
    <t xml:space="preserve">Administradora </t>
  </si>
  <si>
    <t>Lloyds / BCP</t>
  </si>
  <si>
    <t>Saldo al inicio del año</t>
  </si>
  <si>
    <t>Saldo al inicio del año de sociedades adquiridas</t>
  </si>
  <si>
    <t>Reserva de capital</t>
  </si>
  <si>
    <t>Ajuste de periodos anteriores</t>
  </si>
  <si>
    <t>Pago Lloyds</t>
  </si>
  <si>
    <t>Dividendos pagados en efectivo acciones preferidas</t>
  </si>
  <si>
    <t>Dividendos pagados en efectivo acciones comunes</t>
  </si>
  <si>
    <t>Impuesto complementario</t>
  </si>
  <si>
    <t>Utilidad (pérdida) neta - 2004</t>
  </si>
  <si>
    <t>Saldo al final del periodo</t>
  </si>
  <si>
    <t>(Panamá, República de Panamá)</t>
  </si>
  <si>
    <t>(Cifras en Balboas)</t>
  </si>
  <si>
    <t>Activos</t>
  </si>
  <si>
    <t>Nota</t>
  </si>
  <si>
    <t>Efectivo y efectos de caja</t>
  </si>
  <si>
    <t>Depósitos en bancos:</t>
  </si>
  <si>
    <t>A la vista en bancos locales</t>
  </si>
  <si>
    <t>A la vista en bancos del exterior</t>
  </si>
  <si>
    <t>A plazo en bancos locales</t>
  </si>
  <si>
    <t>A plazo en bancos del exterior</t>
  </si>
  <si>
    <t>Bonos por pagar</t>
  </si>
  <si>
    <t>Reserva para pérdidas en préstamos</t>
  </si>
  <si>
    <t>Valores mantenidos hasta su vencimiento</t>
  </si>
  <si>
    <t>Inversiones en asociadas</t>
  </si>
  <si>
    <t>Propiedades, mobiliarios, equipos y mejoras, neto de</t>
  </si>
  <si>
    <t xml:space="preserve">depreciación y amortización acumuladas </t>
  </si>
  <si>
    <t>Por el año terminado el 31 de diciembre de 2004</t>
  </si>
  <si>
    <t>Pérdida por deterioro de valores</t>
  </si>
  <si>
    <t xml:space="preserve">Total de efectivo, efectos de caja </t>
  </si>
  <si>
    <t xml:space="preserve">  y depósitos en bancos</t>
  </si>
  <si>
    <t>Anexo 1</t>
  </si>
  <si>
    <t>Sub-total</t>
  </si>
  <si>
    <t>Cheques de gerencia y certificados</t>
  </si>
  <si>
    <t xml:space="preserve">  Ganancia no realizada en valores disponibles</t>
  </si>
  <si>
    <t xml:space="preserve">    para la venta</t>
  </si>
  <si>
    <t>Véase el informe de los auditores independientes que se acompaña.</t>
  </si>
  <si>
    <t>Anexo 1, continuación</t>
  </si>
  <si>
    <t>Anexo 2</t>
  </si>
  <si>
    <t>Anexo de Consolidación - Información sobre Resultados y Utilidades No Distribuidas</t>
  </si>
  <si>
    <t>Anexo de Consolidación - Información sobre el Balance de Situación, continuación</t>
  </si>
  <si>
    <t>Anexo de Consolidación - Información sobre el Balance de Situación</t>
  </si>
  <si>
    <t>Ganancia neta en valores</t>
  </si>
  <si>
    <t>Consolidado</t>
  </si>
  <si>
    <t>BANCO CUSCATLÁN DE PANAMÁ, S. A. Y SUBSIDIARIAS</t>
  </si>
  <si>
    <t>Bienes adjudicados</t>
  </si>
  <si>
    <t xml:space="preserve">Plusvalía </t>
  </si>
  <si>
    <t xml:space="preserve">  Revaluación de activos fijos</t>
  </si>
  <si>
    <t xml:space="preserve">Impuesto sobre la renta </t>
  </si>
  <si>
    <t>Otras obligaciones por pagar</t>
  </si>
  <si>
    <t>Otras obligaciones</t>
  </si>
  <si>
    <t>Otros pasivos</t>
  </si>
  <si>
    <t>Caja y bancos</t>
  </si>
  <si>
    <t>Inversiones accionarias</t>
  </si>
  <si>
    <t>Pasivos y Patrimonio</t>
  </si>
  <si>
    <t>Diversos</t>
  </si>
  <si>
    <t>Cuentas por pagar</t>
  </si>
  <si>
    <t>Provisiones</t>
  </si>
  <si>
    <t>Patrimonio:</t>
  </si>
  <si>
    <t>Capital social pagado</t>
  </si>
  <si>
    <t>Total de pasivos y patrimonio</t>
  </si>
  <si>
    <t>Intereses sobre depósitos</t>
  </si>
  <si>
    <t>Operaciones en moneda extranjera</t>
  </si>
  <si>
    <t>Otros servicios y contingencias</t>
  </si>
  <si>
    <t>Utilidad en venta de títulos valores</t>
  </si>
  <si>
    <t>Intereses de inversiones</t>
  </si>
  <si>
    <t>Comisiones y otros ingresos de préstamos</t>
  </si>
  <si>
    <t>Intereses de préstamos</t>
  </si>
  <si>
    <t>Intereses y otros costos de depósitos</t>
  </si>
  <si>
    <t xml:space="preserve">Intereses sobre préstamos </t>
  </si>
  <si>
    <t>Intereses sobre emisión de obligaciones</t>
  </si>
  <si>
    <t>Pérdida por venta de títulos valores</t>
  </si>
  <si>
    <t xml:space="preserve">De funcionarios y empleados </t>
  </si>
  <si>
    <t xml:space="preserve">Generales </t>
  </si>
  <si>
    <t>Depreciaciones y amortizaciones</t>
  </si>
  <si>
    <t>Otros ingresos y gastos:</t>
  </si>
  <si>
    <t>Otros gastos</t>
  </si>
  <si>
    <t>Reservas de saneamiento</t>
  </si>
  <si>
    <t>Impuesto sobre la renta estimado</t>
  </si>
  <si>
    <t>Ingresos de operación:</t>
  </si>
  <si>
    <t>Costos de operación:</t>
  </si>
  <si>
    <t>Dividendos</t>
  </si>
  <si>
    <t>Utilidad antes de gastos</t>
  </si>
  <si>
    <t xml:space="preserve">Gastos de operación: </t>
  </si>
  <si>
    <t>(Cifras en Miles de Dólares de los Estados Unidos de América)</t>
  </si>
  <si>
    <t>Cartera de préstamos</t>
  </si>
  <si>
    <t>Préstamos de otros bancos</t>
  </si>
  <si>
    <t>Pasivos de intermediación:</t>
  </si>
  <si>
    <t>Depósitos de clientes</t>
  </si>
  <si>
    <t>Banco Cuscatlán de El Salvador, S.A. y Subsidiarias</t>
  </si>
  <si>
    <t>Estados Consolidados de Cambios en el Patrimonio</t>
  </si>
  <si>
    <t>(Expresados en Miles de Dólares de los Estados Unidos de América)</t>
  </si>
  <si>
    <t>Saldos al</t>
  </si>
  <si>
    <t>CAPITAL SOCIAL PAGADO</t>
  </si>
  <si>
    <t>RESERVAS LEGAL</t>
  </si>
  <si>
    <t>RESERVAS VOLUNTARIAS</t>
  </si>
  <si>
    <t>RESULTADOS POR APLICAR</t>
  </si>
  <si>
    <t>RESULTADOS PRESENTE EJERCICIO</t>
  </si>
  <si>
    <t>UTILIDAD NO DISTRIBUIBLE</t>
  </si>
  <si>
    <t>REVALUOS</t>
  </si>
  <si>
    <t>POR RIESGOS GENERICOS DE LA ACTIVIDAD BANCARIO</t>
  </si>
  <si>
    <t>TOTALES</t>
  </si>
  <si>
    <t>Patrimonio</t>
  </si>
  <si>
    <t>Aumentos</t>
  </si>
  <si>
    <t>Disminuciones</t>
  </si>
  <si>
    <t>SALDO AL 31 DE DICIEMBRE DE 2002</t>
  </si>
  <si>
    <t>PAGO DE DIVIDENDOS</t>
  </si>
  <si>
    <t>US$</t>
  </si>
  <si>
    <t>TRASLADOS A RESERVAS VOLUNTARIAS</t>
  </si>
  <si>
    <t>Reserva legal</t>
  </si>
  <si>
    <t>DEPRECIACION DE REVALUOS</t>
  </si>
  <si>
    <t>Reservas voluntarias</t>
  </si>
  <si>
    <t>CONSTITUCION RESERVA RIESGO PAIS</t>
  </si>
  <si>
    <t>Utilidades distribuibles</t>
  </si>
  <si>
    <t>Resultado obtenido de subsidiarias</t>
  </si>
  <si>
    <t>RESULTADOS DEL PRESENTE EJERCICIO</t>
  </si>
  <si>
    <t>SALDO AL AÑO 2003</t>
  </si>
  <si>
    <t>Patrimonio Restringido</t>
  </si>
  <si>
    <t>Utilidad no distribuible</t>
  </si>
  <si>
    <t>Revalúos de activo fijo</t>
  </si>
  <si>
    <t>Recuperación de activos castigados</t>
  </si>
  <si>
    <t>Provisiones por riesgo país</t>
  </si>
  <si>
    <t>Total patrimonio</t>
  </si>
  <si>
    <t>Valor contable de las acciones</t>
  </si>
  <si>
    <t>Véanse notas que acompañan a los estados financieros consolidados.</t>
  </si>
  <si>
    <t>Firmados por:</t>
  </si>
  <si>
    <t xml:space="preserve">Ing. Mauricio Samayoa                                                    Lic. Roberto Ortíz Avalos                                                        Ing. Jorge L. Weill                    </t>
  </si>
  <si>
    <t xml:space="preserve">       Presidente                                                                         Vicepresidente                                                                        Secretario                             </t>
  </si>
  <si>
    <t>Lic. Elías Jorge Bahaia                                                       Ing. Rafael Castellanos                                              Licda. Claudia Lucía Paiz de Escobar</t>
  </si>
  <si>
    <t xml:space="preserve">  Director Propietario                                                           Director Propietario                                                                Director Propietario</t>
  </si>
  <si>
    <t>Estados Consolidados de Flujos de Efectivo</t>
  </si>
  <si>
    <t>2005</t>
  </si>
  <si>
    <t>Flujos de efectivo provenientes de actividades de operación:</t>
  </si>
  <si>
    <t>Utilidad neta para el año</t>
  </si>
  <si>
    <t>Ajustes para conciliar la utilidad neta con el efectivo provisto</t>
  </si>
  <si>
    <t>por actividades de operación:</t>
  </si>
  <si>
    <t>Reserva para saneamiento de préstamos</t>
  </si>
  <si>
    <t>Reserva para Bienes recibidos en pago</t>
  </si>
  <si>
    <t>Intereses y comisiones por percibir</t>
  </si>
  <si>
    <t>Intereses y comisiones por pagar</t>
  </si>
  <si>
    <t>Depósitos del público</t>
  </si>
  <si>
    <t>Efectivo provisto por actividades de operación</t>
  </si>
  <si>
    <t>Flujos de efectivo provenientes de actividades de inversión:</t>
  </si>
  <si>
    <t>Adquisición de activos extraordinarios</t>
  </si>
  <si>
    <t>Venta de activos extraordinarios</t>
  </si>
  <si>
    <t>Efectivo usado en actividades de inversión</t>
  </si>
  <si>
    <t>Flujos de efectivo provenientes de actividades de financiamiento:</t>
  </si>
  <si>
    <t>Préstamos (pagados) obtenidos</t>
  </si>
  <si>
    <t>Reportos y operaciones bursátiles</t>
  </si>
  <si>
    <t>Dividendos pagados</t>
  </si>
  <si>
    <t>Emisión de instrumentos financieros</t>
  </si>
  <si>
    <t>Emisión de acciones</t>
  </si>
  <si>
    <t xml:space="preserve"> </t>
  </si>
  <si>
    <t>-</t>
  </si>
  <si>
    <t>Efectivo (usado en) provisto por actividades de financiamiento</t>
  </si>
  <si>
    <t>Efectivo al principio del año</t>
  </si>
  <si>
    <t xml:space="preserve">    Efectivo al final del año</t>
  </si>
  <si>
    <t>2006</t>
  </si>
  <si>
    <t>Por el período del 1 de enero al 31 de diciembre de 2006 y 2005</t>
  </si>
  <si>
    <t>Director de Finanzas                                       Contador                                                       Auditores Externos</t>
  </si>
  <si>
    <t>Inversiones en instrumentos financieros</t>
  </si>
  <si>
    <t>Aumento neto de efectivo</t>
  </si>
  <si>
    <t>Adquisición y retiros de activo fijo</t>
  </si>
  <si>
    <t xml:space="preserve">                                                                                                                                                  REGISTRO No. 422</t>
  </si>
  <si>
    <t>Lic. Manuel E. Rivera                          Lic. José Francisco Flores C.                         Aguirre, García &amp; Compañía, S.A.</t>
  </si>
  <si>
    <t>11,812,500 acciones comunes y nominativas en 2006 y 2005 (1,875,000 en 2004)</t>
  </si>
  <si>
    <t>Reportos y otras operaciones búrsatiles (neto)</t>
  </si>
  <si>
    <t>(La Libertad, República de El Salvador)</t>
  </si>
  <si>
    <t>Activos de intermediación:</t>
  </si>
  <si>
    <t>Balances Generales Consolidados</t>
  </si>
  <si>
    <t>Inversiones financieras (neto)</t>
  </si>
  <si>
    <t>Cartera de préstamos (neto)</t>
  </si>
  <si>
    <t>Cambios netos en activos y pasivos de operación:</t>
  </si>
  <si>
    <t>Efectivo al final del año</t>
  </si>
  <si>
    <t>Patrimonio restringido</t>
  </si>
  <si>
    <t>Flujos de efectivo por actividades de financiamiento:</t>
  </si>
  <si>
    <t>Flujos de efectivo por actividades de inversión:</t>
  </si>
  <si>
    <t>Otros activos:</t>
  </si>
  <si>
    <t>Otros pasivos:</t>
  </si>
  <si>
    <t>Préstamos del Banco de Desarrollo de El Salvador</t>
  </si>
  <si>
    <t>Flujos de efectivo por actividades de operación:</t>
  </si>
  <si>
    <t>Adquisiciones de activo fijo</t>
  </si>
  <si>
    <t>Efectivo recibido por venta de activo fijo</t>
  </si>
  <si>
    <t xml:space="preserve">Reservas voluntarias </t>
  </si>
  <si>
    <t>Provisión por renuncia voluntaria</t>
  </si>
  <si>
    <t>Interés minoritario</t>
  </si>
  <si>
    <t>Contribuciones especiales por ley</t>
  </si>
  <si>
    <t>Estados de Resultados Consolidados</t>
  </si>
  <si>
    <t xml:space="preserve">Estados de Cambios en el Patrimonio Consolidados </t>
  </si>
  <si>
    <t xml:space="preserve">Estados de Flujos de Efectivo Consolidados </t>
  </si>
  <si>
    <t>Bienes recibidos en pago (neto)</t>
  </si>
  <si>
    <t>Diversos (neto)</t>
  </si>
  <si>
    <t>Activo fijo (neto)</t>
  </si>
  <si>
    <t>Pérdida de operación</t>
  </si>
  <si>
    <t>Utilidad antes del impuesto sobre la renta y contribución especial</t>
  </si>
  <si>
    <t xml:space="preserve">   provisto por (usado en) actividades de operación:</t>
  </si>
  <si>
    <t xml:space="preserve">Reservas de capital, resultados acumulados </t>
  </si>
  <si>
    <t>y patrimonio no ganado</t>
  </si>
  <si>
    <t>BANCO CUSCATLÁN DE EL SALVADOR, S.A. Y SUBSIDIARIAS</t>
  </si>
  <si>
    <t>(Subsidiaria de Inversiones Financieras Imperia Cuscatlán, S.A.) *</t>
  </si>
  <si>
    <t>KPMG, S.A.</t>
  </si>
  <si>
    <t>Auditores Externos</t>
  </si>
  <si>
    <t>Registro No. 422</t>
  </si>
  <si>
    <t>11 de agosto de 2016.</t>
  </si>
  <si>
    <r>
      <rPr>
        <b/>
        <sz val="10"/>
        <rFont val="Univers for KPMG"/>
        <family val="2"/>
      </rPr>
      <t>*</t>
    </r>
    <r>
      <rPr>
        <sz val="10"/>
        <rFont val="Univers for KPMG"/>
        <family val="2"/>
      </rPr>
      <t xml:space="preserve"> El Banco es parte del Conglomerado Financiero Inversiones Financieras Imperia Cuscatlán, S.A. autorizado el </t>
    </r>
  </si>
  <si>
    <t xml:space="preserve">* El Banco es parte del Conglomerado Financiero Inversiones Financieras Imperia Cuscatlán, S.A. autorizado el </t>
  </si>
  <si>
    <t>* El Banco es parte del Conglomerado Financiero Inversiones Financieras Imperia Cuscatlán, S.A. autorizado el 11 de agosto de 2016.</t>
  </si>
  <si>
    <t xml:space="preserve"> 11 de agosto de 2016.</t>
  </si>
  <si>
    <t>Por los años terminados el 31 de diciembre de 2017 y 2016</t>
  </si>
  <si>
    <t>Al 31 de diciembre de 2017 y 2016</t>
  </si>
  <si>
    <t>El capital social se conforma de 155,770,640 acciones comunes y nominativas con valor nominal de US$1.00 para 2017 y 2016.</t>
  </si>
  <si>
    <t>Títulos de emisión propia</t>
  </si>
  <si>
    <t xml:space="preserve"> José Eduardo Montenegro Palomo    Alberto Benjamín Vides Deneke    Ferdinando Voto Lucia    Federico Antonio Nasser Facussé</t>
  </si>
  <si>
    <t xml:space="preserve">            Director Presidente                       Director Vicepresidente              Director Secretario                    Primer Director </t>
  </si>
  <si>
    <t>Rafael Ernesto Barrientos Zepeda                  Roberto Antonio Serrano Lara                  Guillermo Antonio Orellana López</t>
  </si>
  <si>
    <t xml:space="preserve">           Segundo Director                                            Tercer Director                                                Contador</t>
  </si>
  <si>
    <t>Utilidad (pérdida) neta</t>
  </si>
  <si>
    <t>Utilidad (pérdida) neta del año</t>
  </si>
  <si>
    <t xml:space="preserve">Ajustes para conciliar la utilidad (pérdida) neta con el efectivo neto </t>
  </si>
  <si>
    <t>Efectivo neto provisto por (usado en) actividades de operación</t>
  </si>
  <si>
    <t>Efectivo neto provisto por actividades de inversión</t>
  </si>
  <si>
    <t>Efectivo neto (usado en) provisto por actividades de financiamiento</t>
  </si>
  <si>
    <t>Participación en afiliadas</t>
  </si>
  <si>
    <t>6, 7, 8</t>
  </si>
  <si>
    <t>8, 14</t>
  </si>
  <si>
    <t>24, 25</t>
  </si>
  <si>
    <t>Reserva para saneamiento de activos (neto)</t>
  </si>
  <si>
    <t>Ganancia en venta de activos fijos y extraordinarios (neto)</t>
  </si>
  <si>
    <t>Provisión por riesgo país</t>
  </si>
  <si>
    <t>Préstamos (pagados) recibidos</t>
  </si>
  <si>
    <t>Proveniente de títulos de emisión propia</t>
  </si>
  <si>
    <t>Aumento (disminución) neto en el efectivo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</si>
</sst>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 * #,##0.00_ ;_ * \-#,##0.00_ ;_ * &quot;-&quot;??_ ;_ @_ "/>
    <numFmt numFmtId="166" formatCode="_ * #,##0_ ;_ * \-#,##0_ ;_ * &quot;-&quot;??_ ;_ @_ "/>
    <numFmt numFmtId="167" formatCode="_-* #,##0_-;\-* #,##0_-;_-* &quot;-&quot;??_-;_-@_-"/>
    <numFmt numFmtId="168" formatCode="_ [$€-2]\ * #,##0.00_ ;_ [$€-2]\ * \-#,##0.00_ ;_ [$€-2]\ * &quot;-&quot;??_ "/>
    <numFmt numFmtId="169" formatCode="#,##0;\(#,##0\)"/>
    <numFmt numFmtId="170" formatCode="#,##0.0;\(#,##0.0\)"/>
    <numFmt numFmtId="171" formatCode="#,##0.0_);\(#,##0.0\)"/>
    <numFmt numFmtId="172" formatCode="_(* #,##0.0_);_(* \(#,##0.0\);_(* &quot;-&quot;??_);_(@_)"/>
    <numFmt numFmtId="173" formatCode="#,##0.0_);[Red]\(#,##0.0\)"/>
    <numFmt numFmtId="174" formatCode="_(* #,##0.0_);_(* \(#,##0.0\);_(* &quot;-&quot;_);_(@_)"/>
    <numFmt numFmtId="175" formatCode="#,##0.0;[Red]\(#,##0.0\)"/>
    <numFmt numFmtId="176" formatCode="_ * #,##0.000_ ;_ * \-#,##0.000_ ;_ * &quot;-&quot;??_ ;_ @_ "/>
    <numFmt numFmtId="177" formatCode="_ * #,##0.0_ ;_ * \-#,##0.0_ ;_ * &quot;-&quot;??_ ;_ @_ "/>
    <numFmt numFmtId="178" formatCode="#,##0.0"/>
    <numFmt numFmtId="179" formatCode="dd\/mm\/yy"/>
    <numFmt numFmtId="180" formatCode="0.0%"/>
  </numFmts>
  <fonts count="45">
    <font>
      <sz val="10"/>
      <name val="Arial"/>
    </font>
    <font>
      <sz val="10"/>
      <name val="Arial"/>
      <family val="2"/>
    </font>
    <font>
      <b/>
      <sz val="11"/>
      <name val="Helv"/>
    </font>
    <font>
      <sz val="10"/>
      <name val="Geneva"/>
      <family val="2"/>
    </font>
    <font>
      <b/>
      <sz val="10"/>
      <name val="Helvetica"/>
      <family val="2"/>
    </font>
    <font>
      <sz val="10"/>
      <name val="Helvetica"/>
      <family val="2"/>
    </font>
    <font>
      <sz val="11"/>
      <name val="Helv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62"/>
      <name val="Arial"/>
      <family val="2"/>
    </font>
    <font>
      <b/>
      <sz val="10"/>
      <color indexed="62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2"/>
      <name val="Helv"/>
    </font>
    <font>
      <b/>
      <u/>
      <sz val="11"/>
      <name val="Helv"/>
    </font>
    <font>
      <b/>
      <u/>
      <sz val="11"/>
      <name val="Helvetica"/>
      <family val="2"/>
    </font>
    <font>
      <i/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u val="singleAccounting"/>
      <sz val="10"/>
      <name val="Times New Roman"/>
      <family val="1"/>
    </font>
    <font>
      <sz val="10"/>
      <color indexed="12"/>
      <name val="Times New Roman"/>
      <family val="1"/>
    </font>
    <font>
      <u val="doubleAccounting"/>
      <sz val="10"/>
      <name val="Times New Roman"/>
      <family val="1"/>
    </font>
    <font>
      <sz val="9"/>
      <name val="Times New Roman"/>
      <family val="1"/>
    </font>
    <font>
      <sz val="10"/>
      <color indexed="9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Univers for KPMG"/>
      <family val="2"/>
    </font>
    <font>
      <sz val="10"/>
      <name val="Univers for KPMG"/>
      <family val="2"/>
    </font>
    <font>
      <b/>
      <u/>
      <sz val="10"/>
      <name val="Univers for KPMG"/>
      <family val="2"/>
    </font>
    <font>
      <sz val="10"/>
      <color indexed="8"/>
      <name val="Univers for KPMG"/>
      <family val="2"/>
    </font>
    <font>
      <i/>
      <sz val="10"/>
      <name val="Univers for KPMG"/>
      <family val="2"/>
    </font>
    <font>
      <u/>
      <sz val="10"/>
      <name val="Univers for KPMG"/>
      <family val="2"/>
    </font>
    <font>
      <u val="doubleAccounting"/>
      <sz val="10"/>
      <name val="Univers for KPMG"/>
      <family val="2"/>
    </font>
    <font>
      <u val="singleAccounting"/>
      <sz val="10"/>
      <name val="Univers for KPMG"/>
      <family val="2"/>
    </font>
    <font>
      <sz val="10"/>
      <color theme="1"/>
      <name val="Univers for KPMG"/>
      <family val="2"/>
    </font>
    <font>
      <i/>
      <sz val="10"/>
      <color indexed="12"/>
      <name val="Univers for KPMG"/>
      <family val="2"/>
    </font>
    <font>
      <i/>
      <sz val="10"/>
      <color indexed="9"/>
      <name val="Univers for KPMG"/>
      <family val="2"/>
    </font>
    <font>
      <b/>
      <sz val="10"/>
      <color rgb="FF000000"/>
      <name val="Univers for KPMG"/>
      <family val="2"/>
    </font>
    <font>
      <sz val="10"/>
      <name val="Univers for KPMG"/>
      <family val="2"/>
    </font>
    <font>
      <sz val="9"/>
      <color rgb="FF000000"/>
      <name val="Univers for KPMG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  <fill>
      <patternFill patternType="solid">
        <fgColor indexed="9"/>
        <bgColor indexed="8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44" fillId="0" borderId="0" applyFont="0" applyFill="0" applyBorder="0" applyAlignment="0" applyProtection="0"/>
  </cellStyleXfs>
  <cellXfs count="333">
    <xf numFmtId="0" fontId="0" fillId="0" borderId="0" xfId="0"/>
    <xf numFmtId="0" fontId="2" fillId="0" borderId="0" xfId="6" applyFont="1" applyFill="1"/>
    <xf numFmtId="0" fontId="5" fillId="0" borderId="0" xfId="0" applyFont="1"/>
    <xf numFmtId="0" fontId="2" fillId="0" borderId="0" xfId="6" applyFont="1" applyFill="1" applyAlignment="1">
      <alignment horizontal="center"/>
    </xf>
    <xf numFmtId="0" fontId="6" fillId="0" borderId="0" xfId="6" applyFont="1" applyFill="1"/>
    <xf numFmtId="0" fontId="6" fillId="0" borderId="0" xfId="6" applyFont="1" applyFill="1" applyAlignment="1">
      <alignment horizontal="left" indent="1"/>
    </xf>
    <xf numFmtId="0" fontId="6" fillId="0" borderId="0" xfId="6" applyFont="1" applyFill="1" applyAlignment="1">
      <alignment horizontal="left" indent="2"/>
    </xf>
    <xf numFmtId="0" fontId="5" fillId="0" borderId="0" xfId="0" applyFont="1" applyBorder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10" fillId="0" borderId="0" xfId="7" applyFont="1" applyAlignment="1">
      <alignment horizontal="left"/>
    </xf>
    <xf numFmtId="0" fontId="9" fillId="0" borderId="0" xfId="7" applyFont="1"/>
    <xf numFmtId="0" fontId="11" fillId="0" borderId="0" xfId="7" applyFont="1"/>
    <xf numFmtId="0" fontId="10" fillId="0" borderId="0" xfId="7" applyFont="1" applyAlignment="1">
      <alignment horizontal="center"/>
    </xf>
    <xf numFmtId="0" fontId="12" fillId="0" borderId="0" xfId="7" applyFont="1" applyAlignment="1">
      <alignment horizontal="center"/>
    </xf>
    <xf numFmtId="0" fontId="9" fillId="0" borderId="0" xfId="7" applyFont="1" applyAlignment="1">
      <alignment horizontal="center"/>
    </xf>
    <xf numFmtId="0" fontId="10" fillId="0" borderId="0" xfId="7" applyFont="1" applyBorder="1" applyAlignment="1">
      <alignment horizontal="center"/>
    </xf>
    <xf numFmtId="0" fontId="13" fillId="0" borderId="0" xfId="7" applyFont="1" applyAlignment="1">
      <alignment horizontal="center"/>
    </xf>
    <xf numFmtId="0" fontId="14" fillId="0" borderId="0" xfId="7" applyFont="1"/>
    <xf numFmtId="166" fontId="10" fillId="0" borderId="0" xfId="4" applyNumberFormat="1" applyFont="1"/>
    <xf numFmtId="166" fontId="9" fillId="0" borderId="0" xfId="4" applyNumberFormat="1" applyFont="1"/>
    <xf numFmtId="0" fontId="9" fillId="0" borderId="0" xfId="7" applyFont="1" applyBorder="1"/>
    <xf numFmtId="166" fontId="10" fillId="0" borderId="1" xfId="4" applyNumberFormat="1" applyFont="1" applyBorder="1"/>
    <xf numFmtId="166" fontId="9" fillId="0" borderId="1" xfId="4" applyNumberFormat="1" applyFont="1" applyBorder="1"/>
    <xf numFmtId="166" fontId="9" fillId="0" borderId="0" xfId="7" applyNumberFormat="1" applyFont="1"/>
    <xf numFmtId="167" fontId="9" fillId="0" borderId="0" xfId="4" applyNumberFormat="1" applyFont="1"/>
    <xf numFmtId="167" fontId="9" fillId="0" borderId="0" xfId="7" applyNumberFormat="1" applyFont="1"/>
    <xf numFmtId="39" fontId="9" fillId="0" borderId="0" xfId="1" applyNumberFormat="1" applyFont="1"/>
    <xf numFmtId="4" fontId="9" fillId="0" borderId="0" xfId="7" applyNumberFormat="1" applyFont="1"/>
    <xf numFmtId="0" fontId="6" fillId="0" borderId="0" xfId="6" quotePrefix="1" applyFont="1" applyFill="1" applyAlignment="1">
      <alignment horizontal="left"/>
    </xf>
    <xf numFmtId="37" fontId="6" fillId="0" borderId="2" xfId="6" applyNumberFormat="1" applyFont="1" applyFill="1" applyBorder="1"/>
    <xf numFmtId="37" fontId="6" fillId="0" borderId="0" xfId="6" applyNumberFormat="1" applyFont="1" applyFill="1"/>
    <xf numFmtId="37" fontId="6" fillId="0" borderId="3" xfId="6" applyNumberFormat="1" applyFont="1" applyFill="1" applyBorder="1"/>
    <xf numFmtId="37" fontId="6" fillId="0" borderId="0" xfId="6" applyNumberFormat="1" applyFont="1" applyFill="1" applyBorder="1"/>
    <xf numFmtId="0" fontId="5" fillId="0" borderId="4" xfId="0" applyFont="1" applyBorder="1"/>
    <xf numFmtId="0" fontId="15" fillId="0" borderId="0" xfId="6" applyFont="1" applyFill="1"/>
    <xf numFmtId="37" fontId="4" fillId="0" borderId="0" xfId="0" applyNumberFormat="1" applyFont="1"/>
    <xf numFmtId="37" fontId="5" fillId="0" borderId="0" xfId="0" applyNumberFormat="1" applyFont="1"/>
    <xf numFmtId="37" fontId="6" fillId="0" borderId="0" xfId="6" applyNumberFormat="1" applyFont="1" applyFill="1" applyAlignment="1">
      <alignment horizontal="center"/>
    </xf>
    <xf numFmtId="37" fontId="2" fillId="0" borderId="0" xfId="6" applyNumberFormat="1" applyFont="1" applyFill="1" applyAlignment="1">
      <alignment horizontal="center"/>
    </xf>
    <xf numFmtId="37" fontId="5" fillId="0" borderId="0" xfId="0" applyNumberFormat="1" applyFont="1" applyBorder="1"/>
    <xf numFmtId="37" fontId="6" fillId="0" borderId="1" xfId="6" applyNumberFormat="1" applyFont="1" applyFill="1" applyBorder="1"/>
    <xf numFmtId="0" fontId="2" fillId="0" borderId="4" xfId="6" applyFont="1" applyFill="1" applyBorder="1"/>
    <xf numFmtId="37" fontId="5" fillId="0" borderId="4" xfId="0" applyNumberFormat="1" applyFont="1" applyBorder="1"/>
    <xf numFmtId="37" fontId="2" fillId="0" borderId="4" xfId="6" applyNumberFormat="1" applyFont="1" applyFill="1" applyBorder="1" applyAlignment="1">
      <alignment horizontal="center"/>
    </xf>
    <xf numFmtId="37" fontId="4" fillId="0" borderId="0" xfId="0" applyNumberFormat="1" applyFont="1" applyBorder="1"/>
    <xf numFmtId="37" fontId="4" fillId="0" borderId="4" xfId="0" applyNumberFormat="1" applyFont="1" applyBorder="1"/>
    <xf numFmtId="37" fontId="17" fillId="0" borderId="0" xfId="0" applyNumberFormat="1" applyFont="1" applyAlignment="1">
      <alignment horizontal="right"/>
    </xf>
    <xf numFmtId="37" fontId="16" fillId="0" borderId="0" xfId="6" applyNumberFormat="1" applyFont="1" applyFill="1" applyAlignment="1">
      <alignment horizontal="center"/>
    </xf>
    <xf numFmtId="37" fontId="9" fillId="0" borderId="0" xfId="0" applyNumberFormat="1" applyFont="1" applyFill="1"/>
    <xf numFmtId="37" fontId="9" fillId="0" borderId="0" xfId="0" applyNumberFormat="1" applyFont="1" applyFill="1" applyBorder="1"/>
    <xf numFmtId="37" fontId="10" fillId="0" borderId="0" xfId="0" applyNumberFormat="1" applyFont="1" applyFill="1"/>
    <xf numFmtId="37" fontId="10" fillId="0" borderId="0" xfId="0" applyNumberFormat="1" applyFont="1" applyFill="1" applyBorder="1"/>
    <xf numFmtId="37" fontId="9" fillId="0" borderId="0" xfId="0" applyNumberFormat="1" applyFont="1"/>
    <xf numFmtId="37" fontId="9" fillId="0" borderId="0" xfId="0" applyNumberFormat="1" applyFont="1" applyBorder="1"/>
    <xf numFmtId="0" fontId="9" fillId="0" borderId="4" xfId="0" applyFont="1" applyBorder="1"/>
    <xf numFmtId="37" fontId="9" fillId="0" borderId="4" xfId="0" applyNumberFormat="1" applyFont="1" applyFill="1" applyBorder="1"/>
    <xf numFmtId="37" fontId="10" fillId="0" borderId="4" xfId="0" applyNumberFormat="1" applyFont="1" applyFill="1" applyBorder="1"/>
    <xf numFmtId="0" fontId="18" fillId="0" borderId="0" xfId="0" applyFont="1"/>
    <xf numFmtId="37" fontId="6" fillId="0" borderId="0" xfId="6" applyNumberFormat="1" applyFont="1" applyFill="1" applyBorder="1" applyAlignment="1">
      <alignment horizontal="center"/>
    </xf>
    <xf numFmtId="37" fontId="2" fillId="0" borderId="0" xfId="6" applyNumberFormat="1" applyFont="1" applyFill="1" applyBorder="1" applyAlignment="1">
      <alignment horizontal="center"/>
    </xf>
    <xf numFmtId="37" fontId="9" fillId="0" borderId="0" xfId="0" applyNumberFormat="1" applyFont="1" applyFill="1" applyBorder="1" applyAlignment="1">
      <alignment horizontal="center"/>
    </xf>
    <xf numFmtId="37" fontId="9" fillId="0" borderId="0" xfId="0" applyNumberFormat="1" applyFont="1" applyBorder="1" applyAlignment="1">
      <alignment horizontal="center"/>
    </xf>
    <xf numFmtId="37" fontId="10" fillId="0" borderId="0" xfId="0" applyNumberFormat="1" applyFont="1" applyAlignment="1">
      <alignment horizontal="center"/>
    </xf>
    <xf numFmtId="37" fontId="10" fillId="0" borderId="0" xfId="0" applyNumberFormat="1" applyFont="1" applyBorder="1" applyAlignment="1">
      <alignment horizontal="center"/>
    </xf>
    <xf numFmtId="37" fontId="9" fillId="0" borderId="0" xfId="0" applyNumberFormat="1" applyFont="1" applyAlignment="1">
      <alignment horizontal="center"/>
    </xf>
    <xf numFmtId="37" fontId="9" fillId="0" borderId="0" xfId="1" applyNumberFormat="1" applyFont="1" applyFill="1"/>
    <xf numFmtId="37" fontId="9" fillId="0" borderId="0" xfId="1" applyNumberFormat="1" applyFont="1" applyFill="1" applyBorder="1"/>
    <xf numFmtId="37" fontId="10" fillId="0" borderId="0" xfId="0" applyNumberFormat="1" applyFont="1"/>
    <xf numFmtId="37" fontId="10" fillId="0" borderId="0" xfId="0" applyNumberFormat="1" applyFont="1" applyBorder="1"/>
    <xf numFmtId="37" fontId="10" fillId="0" borderId="0" xfId="1" applyNumberFormat="1" applyFont="1"/>
    <xf numFmtId="37" fontId="10" fillId="0" borderId="0" xfId="1" applyNumberFormat="1" applyFont="1" applyBorder="1"/>
    <xf numFmtId="37" fontId="9" fillId="0" borderId="0" xfId="1" applyNumberFormat="1" applyFont="1"/>
    <xf numFmtId="37" fontId="9" fillId="0" borderId="0" xfId="1" applyNumberFormat="1" applyFont="1" applyBorder="1"/>
    <xf numFmtId="37" fontId="9" fillId="0" borderId="0" xfId="0" applyNumberFormat="1" applyFont="1" applyAlignment="1">
      <alignment horizontal="left"/>
    </xf>
    <xf numFmtId="37" fontId="9" fillId="0" borderId="0" xfId="0" applyNumberFormat="1" applyFont="1" applyBorder="1" applyAlignment="1">
      <alignment horizontal="left"/>
    </xf>
    <xf numFmtId="37" fontId="0" fillId="0" borderId="0" xfId="1" applyNumberFormat="1" applyFont="1" applyFill="1" applyBorder="1"/>
    <xf numFmtId="37" fontId="10" fillId="0" borderId="4" xfId="0" applyNumberFormat="1" applyFont="1" applyBorder="1"/>
    <xf numFmtId="37" fontId="9" fillId="0" borderId="4" xfId="0" applyNumberFormat="1" applyFont="1" applyBorder="1"/>
    <xf numFmtId="169" fontId="6" fillId="0" borderId="0" xfId="6" applyNumberFormat="1" applyFont="1" applyFill="1"/>
    <xf numFmtId="169" fontId="6" fillId="0" borderId="3" xfId="6" applyNumberFormat="1" applyFont="1" applyFill="1" applyBorder="1"/>
    <xf numFmtId="169" fontId="6" fillId="0" borderId="2" xfId="6" applyNumberFormat="1" applyFont="1" applyFill="1" applyBorder="1"/>
    <xf numFmtId="169" fontId="6" fillId="0" borderId="1" xfId="6" applyNumberFormat="1" applyFont="1" applyFill="1" applyBorder="1"/>
    <xf numFmtId="169" fontId="9" fillId="0" borderId="0" xfId="0" applyNumberFormat="1" applyFont="1"/>
    <xf numFmtId="37" fontId="6" fillId="0" borderId="0" xfId="6" applyNumberFormat="1" applyFont="1" applyFill="1" applyAlignment="1">
      <alignment horizontal="left"/>
    </xf>
    <xf numFmtId="37" fontId="2" fillId="0" borderId="0" xfId="6" applyNumberFormat="1" applyFont="1" applyFill="1"/>
    <xf numFmtId="37" fontId="6" fillId="0" borderId="0" xfId="6" applyNumberFormat="1" applyFont="1" applyFill="1" applyAlignment="1">
      <alignment horizontal="left" indent="1"/>
    </xf>
    <xf numFmtId="37" fontId="9" fillId="0" borderId="0" xfId="0" applyNumberFormat="1" applyFont="1" applyAlignment="1">
      <alignment horizontal="left" indent="1"/>
    </xf>
    <xf numFmtId="37" fontId="18" fillId="0" borderId="0" xfId="0" applyNumberFormat="1" applyFont="1"/>
    <xf numFmtId="0" fontId="19" fillId="0" borderId="0" xfId="0" applyFont="1" applyAlignment="1">
      <alignment horizontal="left"/>
    </xf>
    <xf numFmtId="0" fontId="19" fillId="0" borderId="0" xfId="0" applyFont="1"/>
    <xf numFmtId="173" fontId="19" fillId="2" borderId="0" xfId="0" applyNumberFormat="1" applyFont="1" applyFill="1" applyBorder="1" applyAlignment="1" applyProtection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justify"/>
    </xf>
    <xf numFmtId="175" fontId="19" fillId="3" borderId="0" xfId="0" applyNumberFormat="1" applyFont="1" applyFill="1" applyBorder="1" applyAlignment="1" applyProtection="1">
      <alignment horizontal="justify"/>
    </xf>
    <xf numFmtId="175" fontId="19" fillId="3" borderId="0" xfId="0" applyNumberFormat="1" applyFont="1" applyFill="1" applyBorder="1" applyAlignment="1">
      <alignment horizontal="justify"/>
    </xf>
    <xf numFmtId="175" fontId="19" fillId="0" borderId="0" xfId="0" applyNumberFormat="1" applyFont="1" applyAlignment="1">
      <alignment horizontal="justify"/>
    </xf>
    <xf numFmtId="0" fontId="21" fillId="0" borderId="0" xfId="0" applyFont="1" applyAlignment="1">
      <alignment horizontal="left"/>
    </xf>
    <xf numFmtId="14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175" fontId="19" fillId="0" borderId="0" xfId="0" applyNumberFormat="1" applyFont="1" applyAlignment="1">
      <alignment horizontal="right"/>
    </xf>
    <xf numFmtId="172" fontId="19" fillId="0" borderId="0" xfId="5" applyNumberFormat="1" applyFont="1" applyFill="1"/>
    <xf numFmtId="172" fontId="19" fillId="0" borderId="0" xfId="5" applyNumberFormat="1" applyFont="1" applyFill="1" applyAlignment="1">
      <alignment horizontal="center"/>
    </xf>
    <xf numFmtId="172" fontId="19" fillId="0" borderId="0" xfId="5" quotePrefix="1" applyNumberFormat="1" applyFont="1" applyFill="1"/>
    <xf numFmtId="174" fontId="19" fillId="0" borderId="0" xfId="3" applyNumberFormat="1" applyFont="1"/>
    <xf numFmtId="172" fontId="19" fillId="0" borderId="2" xfId="5" applyNumberFormat="1" applyFont="1" applyFill="1" applyBorder="1"/>
    <xf numFmtId="172" fontId="22" fillId="0" borderId="0" xfId="5" applyNumberFormat="1" applyFont="1" applyFill="1" applyBorder="1"/>
    <xf numFmtId="172" fontId="19" fillId="0" borderId="0" xfId="5" applyNumberFormat="1" applyFont="1" applyFill="1" applyBorder="1"/>
    <xf numFmtId="172" fontId="23" fillId="0" borderId="0" xfId="5" applyNumberFormat="1" applyFont="1" applyBorder="1"/>
    <xf numFmtId="172" fontId="19" fillId="0" borderId="5" xfId="5" applyNumberFormat="1" applyFont="1" applyBorder="1"/>
    <xf numFmtId="172" fontId="24" fillId="0" borderId="0" xfId="5" applyNumberFormat="1" applyFont="1" applyBorder="1"/>
    <xf numFmtId="172" fontId="19" fillId="0" borderId="1" xfId="5" applyNumberFormat="1" applyFont="1" applyBorder="1"/>
    <xf numFmtId="172" fontId="19" fillId="0" borderId="0" xfId="5" applyNumberFormat="1" applyFont="1"/>
    <xf numFmtId="172" fontId="19" fillId="0" borderId="2" xfId="5" applyNumberFormat="1" applyFont="1" applyFill="1" applyBorder="1" applyAlignment="1">
      <alignment horizontal="center"/>
    </xf>
    <xf numFmtId="172" fontId="19" fillId="0" borderId="0" xfId="5" applyNumberFormat="1" applyFont="1" applyBorder="1"/>
    <xf numFmtId="172" fontId="19" fillId="0" borderId="3" xfId="5" applyNumberFormat="1" applyFont="1" applyBorder="1"/>
    <xf numFmtId="172" fontId="19" fillId="0" borderId="2" xfId="5" applyNumberFormat="1" applyFont="1" applyBorder="1"/>
    <xf numFmtId="0" fontId="19" fillId="0" borderId="0" xfId="0" quotePrefix="1" applyFont="1"/>
    <xf numFmtId="3" fontId="19" fillId="0" borderId="0" xfId="0" applyNumberFormat="1" applyFont="1"/>
    <xf numFmtId="0" fontId="25" fillId="2" borderId="0" xfId="0" applyFont="1" applyFill="1" applyBorder="1" applyAlignment="1" applyProtection="1">
      <alignment horizontal="left"/>
    </xf>
    <xf numFmtId="172" fontId="9" fillId="0" borderId="0" xfId="5" applyNumberFormat="1" applyFont="1" applyFill="1" applyAlignment="1">
      <alignment horizontal="left"/>
    </xf>
    <xf numFmtId="0" fontId="14" fillId="0" borderId="0" xfId="0" applyFont="1"/>
    <xf numFmtId="0" fontId="26" fillId="0" borderId="0" xfId="0" applyFont="1"/>
    <xf numFmtId="0" fontId="27" fillId="0" borderId="0" xfId="0" applyFont="1" applyAlignment="1"/>
    <xf numFmtId="0" fontId="9" fillId="0" borderId="0" xfId="0" applyFont="1" applyFill="1"/>
    <xf numFmtId="0" fontId="0" fillId="0" borderId="0" xfId="0" applyFill="1"/>
    <xf numFmtId="0" fontId="28" fillId="0" borderId="0" xfId="0" applyFont="1"/>
    <xf numFmtId="43" fontId="0" fillId="0" borderId="0" xfId="0" applyNumberFormat="1"/>
    <xf numFmtId="0" fontId="27" fillId="0" borderId="0" xfId="0" applyFont="1" applyAlignment="1">
      <alignment horizontal="left"/>
    </xf>
    <xf numFmtId="0" fontId="27" fillId="0" borderId="0" xfId="0" applyFont="1"/>
    <xf numFmtId="0" fontId="29" fillId="0" borderId="0" xfId="0" applyFont="1" applyFill="1"/>
    <xf numFmtId="0" fontId="29" fillId="0" borderId="0" xfId="0" applyFont="1"/>
    <xf numFmtId="43" fontId="29" fillId="0" borderId="0" xfId="0" applyNumberFormat="1" applyFont="1"/>
    <xf numFmtId="0" fontId="27" fillId="0" borderId="0" xfId="0" applyFont="1" applyFill="1"/>
    <xf numFmtId="171" fontId="1" fillId="0" borderId="0" xfId="0" applyNumberFormat="1" applyFont="1"/>
    <xf numFmtId="0" fontId="1" fillId="0" borderId="0" xfId="0" applyFont="1"/>
    <xf numFmtId="173" fontId="19" fillId="2" borderId="0" xfId="0" applyNumberFormat="1" applyFont="1" applyFill="1" applyBorder="1" applyAlignment="1" applyProtection="1">
      <alignment horizontal="left"/>
    </xf>
    <xf numFmtId="49" fontId="21" fillId="2" borderId="0" xfId="0" applyNumberFormat="1" applyFont="1" applyFill="1" applyBorder="1" applyAlignment="1" applyProtection="1">
      <alignment horizontal="center"/>
    </xf>
    <xf numFmtId="171" fontId="21" fillId="2" borderId="0" xfId="0" applyNumberFormat="1" applyFont="1" applyFill="1" applyBorder="1" applyAlignment="1" applyProtection="1">
      <alignment horizontal="center"/>
    </xf>
    <xf numFmtId="171" fontId="19" fillId="2" borderId="0" xfId="0" applyNumberFormat="1" applyFont="1" applyFill="1" applyBorder="1" applyAlignment="1" applyProtection="1">
      <alignment horizontal="left"/>
    </xf>
    <xf numFmtId="173" fontId="19" fillId="2" borderId="0" xfId="0" applyNumberFormat="1" applyFont="1" applyFill="1" applyBorder="1" applyAlignment="1" applyProtection="1">
      <alignment horizontal="left" indent="1"/>
    </xf>
    <xf numFmtId="171" fontId="19" fillId="2" borderId="0" xfId="0" applyNumberFormat="1" applyFont="1" applyFill="1" applyBorder="1" applyAlignment="1" applyProtection="1">
      <alignment horizontal="right"/>
    </xf>
    <xf numFmtId="173" fontId="19" fillId="2" borderId="0" xfId="0" applyNumberFormat="1" applyFont="1" applyFill="1" applyBorder="1" applyAlignment="1" applyProtection="1">
      <alignment horizontal="left" indent="3"/>
    </xf>
    <xf numFmtId="171" fontId="19" fillId="2" borderId="2" xfId="0" applyNumberFormat="1" applyFont="1" applyFill="1" applyBorder="1" applyAlignment="1" applyProtection="1">
      <alignment horizontal="right"/>
    </xf>
    <xf numFmtId="171" fontId="19" fillId="0" borderId="2" xfId="0" applyNumberFormat="1" applyFont="1" applyFill="1" applyBorder="1" applyAlignment="1" applyProtection="1">
      <alignment horizontal="right"/>
    </xf>
    <xf numFmtId="171" fontId="19" fillId="2" borderId="3" xfId="0" applyNumberFormat="1" applyFont="1" applyFill="1" applyBorder="1" applyAlignment="1" applyProtection="1">
      <alignment horizontal="right"/>
    </xf>
    <xf numFmtId="171" fontId="19" fillId="0" borderId="1" xfId="0" applyNumberFormat="1" applyFont="1" applyFill="1" applyBorder="1" applyAlignment="1" applyProtection="1">
      <alignment horizontal="right"/>
    </xf>
    <xf numFmtId="0" fontId="1" fillId="0" borderId="0" xfId="0" applyFont="1" applyAlignment="1">
      <alignment horizontal="center"/>
    </xf>
    <xf numFmtId="0" fontId="30" fillId="0" borderId="0" xfId="6" applyFont="1" applyFill="1" applyAlignment="1"/>
    <xf numFmtId="0" fontId="31" fillId="0" borderId="0" xfId="6" applyFont="1" applyFill="1"/>
    <xf numFmtId="0" fontId="31" fillId="0" borderId="0" xfId="6" applyFont="1" applyFill="1" applyAlignment="1">
      <alignment horizontal="center"/>
    </xf>
    <xf numFmtId="165" fontId="31" fillId="0" borderId="0" xfId="1" applyFont="1" applyFill="1"/>
    <xf numFmtId="0" fontId="31" fillId="0" borderId="0" xfId="6" applyFont="1" applyFill="1" applyAlignment="1"/>
    <xf numFmtId="0" fontId="31" fillId="0" borderId="0" xfId="6" applyFont="1" applyFill="1" applyAlignment="1">
      <alignment horizontal="left"/>
    </xf>
    <xf numFmtId="0" fontId="31" fillId="0" borderId="6" xfId="6" applyFont="1" applyFill="1" applyBorder="1"/>
    <xf numFmtId="0" fontId="31" fillId="0" borderId="6" xfId="6" applyFont="1" applyFill="1" applyBorder="1" applyAlignment="1">
      <alignment horizontal="center"/>
    </xf>
    <xf numFmtId="0" fontId="32" fillId="0" borderId="0" xfId="6" applyFont="1" applyFill="1"/>
    <xf numFmtId="0" fontId="32" fillId="0" borderId="0" xfId="6" applyFont="1" applyFill="1" applyAlignment="1">
      <alignment horizontal="center"/>
    </xf>
    <xf numFmtId="0" fontId="32" fillId="0" borderId="0" xfId="6" applyFont="1" applyFill="1" applyBorder="1" applyAlignment="1">
      <alignment horizontal="center"/>
    </xf>
    <xf numFmtId="171" fontId="31" fillId="0" borderId="2" xfId="0" applyNumberFormat="1" applyFont="1" applyFill="1" applyBorder="1"/>
    <xf numFmtId="171" fontId="31" fillId="0" borderId="0" xfId="6" applyNumberFormat="1" applyFont="1" applyFill="1" applyBorder="1"/>
    <xf numFmtId="171" fontId="31" fillId="0" borderId="0" xfId="0" applyNumberFormat="1" applyFont="1" applyFill="1"/>
    <xf numFmtId="171" fontId="31" fillId="0" borderId="0" xfId="6" applyNumberFormat="1" applyFont="1" applyFill="1"/>
    <xf numFmtId="171" fontId="31" fillId="0" borderId="0" xfId="0" applyNumberFormat="1" applyFont="1" applyFill="1" applyBorder="1"/>
    <xf numFmtId="0" fontId="30" fillId="0" borderId="0" xfId="6" applyFont="1" applyFill="1"/>
    <xf numFmtId="171" fontId="31" fillId="0" borderId="1" xfId="0" applyNumberFormat="1" applyFont="1" applyFill="1" applyBorder="1"/>
    <xf numFmtId="0" fontId="33" fillId="0" borderId="0" xfId="6" applyFont="1" applyFill="1" applyAlignment="1">
      <alignment horizontal="center"/>
    </xf>
    <xf numFmtId="171" fontId="31" fillId="0" borderId="2" xfId="0" applyNumberFormat="1" applyFont="1" applyBorder="1"/>
    <xf numFmtId="176" fontId="31" fillId="0" borderId="0" xfId="1" applyNumberFormat="1" applyFont="1" applyFill="1"/>
    <xf numFmtId="49" fontId="33" fillId="0" borderId="0" xfId="6" applyNumberFormat="1" applyFont="1" applyFill="1" applyAlignment="1">
      <alignment horizontal="center"/>
    </xf>
    <xf numFmtId="37" fontId="31" fillId="0" borderId="0" xfId="6" applyNumberFormat="1" applyFont="1" applyFill="1"/>
    <xf numFmtId="0" fontId="34" fillId="0" borderId="0" xfId="6" applyFont="1" applyFill="1"/>
    <xf numFmtId="0" fontId="31" fillId="0" borderId="0" xfId="6" applyFont="1" applyFill="1" applyBorder="1"/>
    <xf numFmtId="0" fontId="31" fillId="0" borderId="0" xfId="6" applyFont="1" applyFill="1" applyBorder="1" applyAlignment="1">
      <alignment horizontal="center"/>
    </xf>
    <xf numFmtId="0" fontId="34" fillId="0" borderId="0" xfId="6" applyFont="1" applyFill="1" applyAlignment="1">
      <alignment horizontal="left"/>
    </xf>
    <xf numFmtId="37" fontId="31" fillId="0" borderId="0" xfId="6" applyNumberFormat="1" applyFont="1" applyFill="1" applyBorder="1"/>
    <xf numFmtId="0" fontId="31" fillId="0" borderId="0" xfId="0" applyFont="1" applyFill="1" applyAlignment="1"/>
    <xf numFmtId="0" fontId="31" fillId="0" borderId="0" xfId="0" applyFont="1" applyFill="1"/>
    <xf numFmtId="43" fontId="31" fillId="0" borderId="0" xfId="0" applyNumberFormat="1" applyFont="1" applyFill="1"/>
    <xf numFmtId="0" fontId="31" fillId="0" borderId="0" xfId="0" applyFont="1" applyFill="1" applyAlignment="1">
      <alignment horizontal="center"/>
    </xf>
    <xf numFmtId="0" fontId="31" fillId="0" borderId="0" xfId="0" applyFont="1" applyFill="1" applyAlignment="1">
      <alignment horizontal="left"/>
    </xf>
    <xf numFmtId="0" fontId="30" fillId="0" borderId="0" xfId="0" applyFont="1" applyFill="1" applyAlignment="1"/>
    <xf numFmtId="0" fontId="30" fillId="0" borderId="0" xfId="6" applyFont="1" applyFill="1" applyAlignment="1">
      <alignment horizontal="center"/>
    </xf>
    <xf numFmtId="165" fontId="30" fillId="0" borderId="0" xfId="1" applyFont="1" applyFill="1"/>
    <xf numFmtId="0" fontId="34" fillId="0" borderId="0" xfId="6" applyFont="1" applyFill="1" applyAlignment="1">
      <alignment horizontal="center"/>
    </xf>
    <xf numFmtId="37" fontId="34" fillId="0" borderId="0" xfId="6" applyNumberFormat="1" applyFont="1" applyFill="1"/>
    <xf numFmtId="165" fontId="34" fillId="0" borderId="0" xfId="1" applyFont="1" applyFill="1"/>
    <xf numFmtId="0" fontId="30" fillId="0" borderId="0" xfId="6" applyFont="1" applyFill="1" applyAlignment="1">
      <alignment horizontal="left"/>
    </xf>
    <xf numFmtId="0" fontId="31" fillId="0" borderId="0" xfId="6" applyFont="1" applyFill="1" applyAlignment="1">
      <alignment horizontal="centerContinuous"/>
    </xf>
    <xf numFmtId="0" fontId="31" fillId="0" borderId="6" xfId="6" applyFont="1" applyFill="1" applyBorder="1" applyAlignment="1">
      <alignment horizontal="left"/>
    </xf>
    <xf numFmtId="0" fontId="31" fillId="0" borderId="0" xfId="6" applyFont="1" applyFill="1" applyBorder="1" applyAlignment="1">
      <alignment horizontal="left"/>
    </xf>
    <xf numFmtId="171" fontId="31" fillId="0" borderId="2" xfId="1" applyNumberFormat="1" applyFont="1" applyFill="1" applyBorder="1" applyAlignment="1">
      <alignment horizontal="right"/>
    </xf>
    <xf numFmtId="170" fontId="31" fillId="0" borderId="0" xfId="0" applyNumberFormat="1" applyFont="1" applyFill="1" applyBorder="1" applyAlignment="1">
      <alignment horizontal="right"/>
    </xf>
    <xf numFmtId="37" fontId="31" fillId="0" borderId="0" xfId="6" applyNumberFormat="1" applyFont="1" applyFill="1" applyBorder="1" applyAlignment="1">
      <alignment horizontal="center"/>
    </xf>
    <xf numFmtId="171" fontId="31" fillId="0" borderId="0" xfId="1" applyNumberFormat="1" applyFont="1" applyFill="1" applyBorder="1" applyAlignment="1">
      <alignment horizontal="right"/>
    </xf>
    <xf numFmtId="37" fontId="30" fillId="0" borderId="0" xfId="6" applyNumberFormat="1" applyFont="1" applyFill="1" applyBorder="1"/>
    <xf numFmtId="0" fontId="31" fillId="0" borderId="0" xfId="0" applyFont="1" applyFill="1" applyBorder="1"/>
    <xf numFmtId="171" fontId="31" fillId="0" borderId="0" xfId="6" applyNumberFormat="1" applyFont="1" applyFill="1" applyBorder="1" applyAlignment="1">
      <alignment horizontal="right"/>
    </xf>
    <xf numFmtId="171" fontId="31" fillId="0" borderId="2" xfId="0" applyNumberFormat="1" applyFont="1" applyFill="1" applyBorder="1" applyAlignment="1">
      <alignment horizontal="right"/>
    </xf>
    <xf numFmtId="0" fontId="30" fillId="0" borderId="0" xfId="0" applyFont="1" applyFill="1" applyAlignment="1">
      <alignment horizontal="left"/>
    </xf>
    <xf numFmtId="37" fontId="31" fillId="0" borderId="0" xfId="6" applyNumberFormat="1" applyFont="1" applyFill="1" applyBorder="1" applyAlignment="1">
      <alignment horizontal="left"/>
    </xf>
    <xf numFmtId="177" fontId="31" fillId="0" borderId="0" xfId="1" applyNumberFormat="1" applyFont="1" applyFill="1"/>
    <xf numFmtId="171" fontId="31" fillId="0" borderId="0" xfId="0" applyNumberFormat="1" applyFont="1" applyFill="1" applyBorder="1" applyAlignment="1">
      <alignment horizontal="right"/>
    </xf>
    <xf numFmtId="171" fontId="31" fillId="0" borderId="2" xfId="6" applyNumberFormat="1" applyFont="1" applyFill="1" applyBorder="1" applyAlignment="1">
      <alignment horizontal="right"/>
    </xf>
    <xf numFmtId="171" fontId="31" fillId="0" borderId="0" xfId="6" applyNumberFormat="1" applyFont="1" applyFill="1" applyAlignment="1">
      <alignment horizontal="center"/>
    </xf>
    <xf numFmtId="171" fontId="31" fillId="0" borderId="0" xfId="6" applyNumberFormat="1" applyFont="1" applyFill="1" applyAlignment="1"/>
    <xf numFmtId="0" fontId="30" fillId="0" borderId="0" xfId="0" applyFont="1" applyFill="1"/>
    <xf numFmtId="37" fontId="30" fillId="0" borderId="0" xfId="6" applyNumberFormat="1" applyFont="1" applyFill="1"/>
    <xf numFmtId="171" fontId="31" fillId="0" borderId="0" xfId="6" applyNumberFormat="1" applyFont="1" applyFill="1" applyBorder="1" applyAlignment="1"/>
    <xf numFmtId="0" fontId="30" fillId="0" borderId="0" xfId="0" applyFont="1" applyFill="1" applyBorder="1" applyAlignment="1"/>
    <xf numFmtId="171" fontId="31" fillId="0" borderId="2" xfId="6" applyNumberFormat="1" applyFont="1" applyFill="1" applyBorder="1" applyAlignment="1"/>
    <xf numFmtId="49" fontId="31" fillId="0" borderId="0" xfId="6" applyNumberFormat="1" applyFont="1" applyFill="1" applyAlignment="1">
      <alignment horizontal="center"/>
    </xf>
    <xf numFmtId="171" fontId="31" fillId="0" borderId="5" xfId="6" applyNumberFormat="1" applyFont="1" applyFill="1" applyBorder="1" applyAlignment="1"/>
    <xf numFmtId="37" fontId="31" fillId="0" borderId="0" xfId="6" applyNumberFormat="1" applyFont="1" applyFill="1" applyAlignment="1">
      <alignment horizontal="center"/>
    </xf>
    <xf numFmtId="37" fontId="31" fillId="0" borderId="0" xfId="6" applyNumberFormat="1" applyFont="1" applyFill="1" applyBorder="1" applyAlignment="1"/>
    <xf numFmtId="0" fontId="31" fillId="0" borderId="0" xfId="6" applyFont="1" applyFill="1" applyBorder="1" applyAlignment="1"/>
    <xf numFmtId="0" fontId="31" fillId="0" borderId="7" xfId="6" applyFont="1" applyFill="1" applyBorder="1" applyAlignment="1">
      <alignment horizontal="left"/>
    </xf>
    <xf numFmtId="0" fontId="31" fillId="0" borderId="7" xfId="6" applyFont="1" applyFill="1" applyBorder="1"/>
    <xf numFmtId="0" fontId="31" fillId="0" borderId="7" xfId="6" applyFont="1" applyFill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2" fillId="0" borderId="0" xfId="0" applyFont="1" applyAlignment="1">
      <alignment horizontal="left"/>
    </xf>
    <xf numFmtId="14" fontId="32" fillId="0" borderId="0" xfId="0" applyNumberFormat="1" applyFont="1" applyFill="1" applyAlignment="1">
      <alignment horizontal="center"/>
    </xf>
    <xf numFmtId="14" fontId="35" fillId="0" borderId="0" xfId="0" applyNumberFormat="1" applyFont="1" applyAlignment="1">
      <alignment horizontal="center"/>
    </xf>
    <xf numFmtId="0" fontId="35" fillId="0" borderId="0" xfId="0" applyFont="1" applyAlignment="1">
      <alignment horizontal="center"/>
    </xf>
    <xf numFmtId="14" fontId="32" fillId="0" borderId="0" xfId="0" applyNumberFormat="1" applyFont="1" applyAlignment="1">
      <alignment horizontal="center"/>
    </xf>
    <xf numFmtId="0" fontId="32" fillId="0" borderId="0" xfId="0" applyFont="1" applyAlignment="1">
      <alignment horizontal="center"/>
    </xf>
    <xf numFmtId="0" fontId="31" fillId="0" borderId="0" xfId="0" applyFont="1" applyBorder="1"/>
    <xf numFmtId="0" fontId="31" fillId="0" borderId="0" xfId="0" applyFont="1" applyAlignment="1">
      <alignment horizontal="left"/>
    </xf>
    <xf numFmtId="175" fontId="31" fillId="0" borderId="0" xfId="0" applyNumberFormat="1" applyFont="1" applyAlignment="1">
      <alignment horizontal="right"/>
    </xf>
    <xf numFmtId="0" fontId="31" fillId="0" borderId="0" xfId="0" applyFont="1"/>
    <xf numFmtId="172" fontId="31" fillId="0" borderId="0" xfId="5" applyNumberFormat="1" applyFont="1" applyFill="1"/>
    <xf numFmtId="172" fontId="31" fillId="0" borderId="0" xfId="5" applyNumberFormat="1" applyFont="1" applyFill="1" applyAlignment="1">
      <alignment horizontal="center"/>
    </xf>
    <xf numFmtId="171" fontId="31" fillId="0" borderId="0" xfId="5" applyNumberFormat="1" applyFont="1" applyFill="1" applyAlignment="1">
      <alignment horizontal="right"/>
    </xf>
    <xf numFmtId="171" fontId="31" fillId="0" borderId="0" xfId="0" applyNumberFormat="1" applyFont="1"/>
    <xf numFmtId="172" fontId="31" fillId="0" borderId="0" xfId="5" quotePrefix="1" applyNumberFormat="1" applyFont="1" applyFill="1"/>
    <xf numFmtId="172" fontId="31" fillId="0" borderId="5" xfId="5" applyNumberFormat="1" applyFont="1" applyBorder="1"/>
    <xf numFmtId="172" fontId="36" fillId="0" borderId="0" xfId="5" applyNumberFormat="1" applyFont="1" applyBorder="1"/>
    <xf numFmtId="172" fontId="31" fillId="0" borderId="1" xfId="5" applyNumberFormat="1" applyFont="1" applyBorder="1"/>
    <xf numFmtId="171" fontId="31" fillId="0" borderId="3" xfId="5" applyNumberFormat="1" applyFont="1" applyBorder="1" applyAlignment="1">
      <alignment horizontal="right"/>
    </xf>
    <xf numFmtId="171" fontId="36" fillId="0" borderId="0" xfId="5" applyNumberFormat="1" applyFont="1" applyBorder="1" applyAlignment="1">
      <alignment horizontal="right"/>
    </xf>
    <xf numFmtId="171" fontId="36" fillId="0" borderId="0" xfId="5" applyNumberFormat="1" applyFont="1" applyFill="1" applyBorder="1" applyAlignment="1">
      <alignment horizontal="right"/>
    </xf>
    <xf numFmtId="172" fontId="31" fillId="0" borderId="0" xfId="5" applyNumberFormat="1" applyFont="1"/>
    <xf numFmtId="171" fontId="31" fillId="0" borderId="0" xfId="5" applyNumberFormat="1" applyFont="1" applyAlignment="1">
      <alignment horizontal="right"/>
    </xf>
    <xf numFmtId="0" fontId="35" fillId="0" borderId="0" xfId="0" applyFont="1" applyAlignment="1">
      <alignment horizontal="left"/>
    </xf>
    <xf numFmtId="172" fontId="31" fillId="0" borderId="0" xfId="5" applyNumberFormat="1" applyFont="1" applyFill="1" applyBorder="1"/>
    <xf numFmtId="171" fontId="31" fillId="0" borderId="0" xfId="5" applyNumberFormat="1" applyFont="1" applyFill="1" applyBorder="1" applyAlignment="1">
      <alignment horizontal="right"/>
    </xf>
    <xf numFmtId="0" fontId="33" fillId="0" borderId="0" xfId="0" applyFont="1" applyFill="1" applyAlignment="1">
      <alignment horizontal="center"/>
    </xf>
    <xf numFmtId="172" fontId="31" fillId="0" borderId="2" xfId="5" applyNumberFormat="1" applyFont="1" applyFill="1" applyBorder="1"/>
    <xf numFmtId="172" fontId="37" fillId="0" borderId="0" xfId="5" applyNumberFormat="1" applyFont="1" applyFill="1" applyBorder="1"/>
    <xf numFmtId="171" fontId="37" fillId="0" borderId="0" xfId="5" applyNumberFormat="1" applyFont="1" applyFill="1" applyBorder="1" applyAlignment="1">
      <alignment horizontal="right"/>
    </xf>
    <xf numFmtId="171" fontId="31" fillId="0" borderId="2" xfId="5" applyNumberFormat="1" applyFont="1" applyFill="1" applyBorder="1" applyAlignment="1">
      <alignment horizontal="right"/>
    </xf>
    <xf numFmtId="172" fontId="31" fillId="0" borderId="0" xfId="5" applyNumberFormat="1" applyFont="1" applyBorder="1"/>
    <xf numFmtId="172" fontId="31" fillId="0" borderId="3" xfId="5" applyNumberFormat="1" applyFont="1" applyBorder="1"/>
    <xf numFmtId="172" fontId="31" fillId="0" borderId="2" xfId="5" applyNumberFormat="1" applyFont="1" applyBorder="1"/>
    <xf numFmtId="171" fontId="31" fillId="0" borderId="0" xfId="5" applyNumberFormat="1" applyFont="1" applyBorder="1" applyAlignment="1">
      <alignment horizontal="right"/>
    </xf>
    <xf numFmtId="0" fontId="30" fillId="0" borderId="0" xfId="0" applyFont="1"/>
    <xf numFmtId="0" fontId="31" fillId="0" borderId="0" xfId="0" applyFont="1" applyAlignment="1">
      <alignment horizontal="center"/>
    </xf>
    <xf numFmtId="172" fontId="31" fillId="0" borderId="0" xfId="0" applyNumberFormat="1" applyFont="1" applyBorder="1"/>
    <xf numFmtId="171" fontId="31" fillId="0" borderId="0" xfId="0" applyNumberFormat="1" applyFont="1" applyFill="1" applyAlignment="1">
      <alignment horizontal="right"/>
    </xf>
    <xf numFmtId="39" fontId="31" fillId="0" borderId="5" xfId="5" applyNumberFormat="1" applyFont="1" applyBorder="1" applyAlignment="1">
      <alignment horizontal="right"/>
    </xf>
    <xf numFmtId="171" fontId="31" fillId="0" borderId="0" xfId="0" quotePrefix="1" applyNumberFormat="1" applyFont="1" applyAlignment="1">
      <alignment horizontal="right"/>
    </xf>
    <xf numFmtId="171" fontId="31" fillId="0" borderId="0" xfId="0" applyNumberFormat="1" applyFont="1" applyAlignment="1">
      <alignment horizontal="right"/>
    </xf>
    <xf numFmtId="39" fontId="38" fillId="0" borderId="5" xfId="5" applyNumberFormat="1" applyFont="1" applyBorder="1" applyAlignment="1">
      <alignment horizontal="right"/>
    </xf>
    <xf numFmtId="172" fontId="31" fillId="0" borderId="0" xfId="0" applyNumberFormat="1" applyFont="1"/>
    <xf numFmtId="3" fontId="33" fillId="0" borderId="0" xfId="0" applyNumberFormat="1" applyFont="1" applyFill="1"/>
    <xf numFmtId="3" fontId="33" fillId="0" borderId="0" xfId="0" applyNumberFormat="1" applyFont="1"/>
    <xf numFmtId="0" fontId="30" fillId="0" borderId="0" xfId="6" applyFont="1" applyFill="1" applyBorder="1"/>
    <xf numFmtId="0" fontId="34" fillId="0" borderId="0" xfId="0" applyFont="1" applyFill="1"/>
    <xf numFmtId="0" fontId="34" fillId="0" borderId="0" xfId="0" applyFont="1"/>
    <xf numFmtId="172" fontId="34" fillId="0" borderId="0" xfId="5" applyNumberFormat="1" applyFont="1" applyFill="1" applyAlignment="1">
      <alignment horizontal="left"/>
    </xf>
    <xf numFmtId="0" fontId="39" fillId="0" borderId="0" xfId="0" applyFont="1"/>
    <xf numFmtId="0" fontId="40" fillId="0" borderId="0" xfId="0" applyFont="1"/>
    <xf numFmtId="0" fontId="34" fillId="0" borderId="0" xfId="0" applyFont="1" applyBorder="1"/>
    <xf numFmtId="173" fontId="31" fillId="2" borderId="0" xfId="0" applyNumberFormat="1" applyFont="1" applyFill="1" applyBorder="1" applyAlignment="1" applyProtection="1">
      <alignment horizontal="left"/>
    </xf>
    <xf numFmtId="173" fontId="31" fillId="2" borderId="0" xfId="0" applyNumberFormat="1" applyFont="1" applyFill="1" applyBorder="1" applyAlignment="1" applyProtection="1">
      <alignment horizontal="center"/>
    </xf>
    <xf numFmtId="171" fontId="31" fillId="0" borderId="0" xfId="0" applyNumberFormat="1" applyFont="1" applyFill="1" applyBorder="1" applyAlignment="1" applyProtection="1">
      <alignment horizontal="left"/>
    </xf>
    <xf numFmtId="173" fontId="31" fillId="2" borderId="0" xfId="0" applyNumberFormat="1" applyFont="1" applyFill="1" applyBorder="1" applyAlignment="1" applyProtection="1"/>
    <xf numFmtId="171" fontId="31" fillId="0" borderId="0" xfId="0" applyNumberFormat="1" applyFont="1" applyFill="1" applyBorder="1" applyAlignment="1" applyProtection="1">
      <alignment horizontal="right"/>
    </xf>
    <xf numFmtId="173" fontId="31" fillId="2" borderId="0" xfId="0" applyNumberFormat="1" applyFont="1" applyFill="1" applyBorder="1" applyAlignment="1" applyProtection="1">
      <alignment horizontal="left" indent="1"/>
    </xf>
    <xf numFmtId="0" fontId="31" fillId="0" borderId="0" xfId="0" applyFont="1" applyAlignment="1"/>
    <xf numFmtId="173" fontId="31" fillId="0" borderId="0" xfId="0" applyNumberFormat="1" applyFont="1" applyFill="1" applyBorder="1" applyAlignment="1" applyProtection="1">
      <alignment horizontal="left"/>
    </xf>
    <xf numFmtId="173" fontId="31" fillId="0" borderId="0" xfId="0" applyNumberFormat="1" applyFont="1" applyFill="1" applyBorder="1" applyAlignment="1" applyProtection="1">
      <alignment horizontal="left" indent="1"/>
    </xf>
    <xf numFmtId="173" fontId="31" fillId="0" borderId="0" xfId="0" applyNumberFormat="1" applyFont="1" applyFill="1" applyBorder="1" applyAlignment="1" applyProtection="1">
      <alignment horizontal="center"/>
    </xf>
    <xf numFmtId="40" fontId="31" fillId="0" borderId="0" xfId="0" applyNumberFormat="1" applyFont="1" applyFill="1" applyBorder="1" applyAlignment="1" applyProtection="1"/>
    <xf numFmtId="171" fontId="31" fillId="0" borderId="2" xfId="0" applyNumberFormat="1" applyFont="1" applyFill="1" applyBorder="1" applyAlignment="1" applyProtection="1">
      <alignment horizontal="right"/>
    </xf>
    <xf numFmtId="173" fontId="30" fillId="0" borderId="0" xfId="0" applyNumberFormat="1" applyFont="1" applyFill="1" applyBorder="1" applyAlignment="1" applyProtection="1">
      <alignment horizontal="left"/>
    </xf>
    <xf numFmtId="173" fontId="30" fillId="2" borderId="0" xfId="0" applyNumberFormat="1" applyFont="1" applyFill="1" applyBorder="1" applyAlignment="1" applyProtection="1">
      <alignment horizontal="left"/>
    </xf>
    <xf numFmtId="171" fontId="31" fillId="0" borderId="3" xfId="0" applyNumberFormat="1" applyFont="1" applyFill="1" applyBorder="1" applyAlignment="1" applyProtection="1">
      <alignment horizontal="right"/>
    </xf>
    <xf numFmtId="171" fontId="31" fillId="0" borderId="1" xfId="0" applyNumberFormat="1" applyFont="1" applyFill="1" applyBorder="1" applyAlignment="1" applyProtection="1">
      <alignment horizontal="right"/>
    </xf>
    <xf numFmtId="165" fontId="31" fillId="0" borderId="0" xfId="1" applyFont="1" applyFill="1" applyBorder="1" applyAlignment="1" applyProtection="1">
      <alignment horizontal="right"/>
    </xf>
    <xf numFmtId="165" fontId="31" fillId="0" borderId="0" xfId="1" applyFont="1" applyFill="1" applyBorder="1" applyAlignment="1" applyProtection="1">
      <alignment horizontal="left"/>
    </xf>
    <xf numFmtId="0" fontId="30" fillId="0" borderId="0" xfId="6" applyFont="1" applyFill="1" applyBorder="1" applyAlignment="1">
      <alignment horizontal="center"/>
    </xf>
    <xf numFmtId="0" fontId="31" fillId="0" borderId="0" xfId="6" applyFont="1" applyFill="1" applyAlignment="1">
      <alignment horizontal="left"/>
    </xf>
    <xf numFmtId="0" fontId="30" fillId="0" borderId="0" xfId="6" applyFont="1" applyFill="1" applyAlignment="1">
      <alignment horizontal="left"/>
    </xf>
    <xf numFmtId="0" fontId="31" fillId="0" borderId="0" xfId="6" applyFont="1" applyFill="1" applyAlignment="1">
      <alignment horizontal="left" indent="1"/>
    </xf>
    <xf numFmtId="173" fontId="34" fillId="2" borderId="0" xfId="0" applyNumberFormat="1" applyFont="1" applyFill="1" applyBorder="1" applyAlignment="1" applyProtection="1">
      <alignment horizontal="left"/>
    </xf>
    <xf numFmtId="178" fontId="31" fillId="0" borderId="0" xfId="6" applyNumberFormat="1" applyFont="1" applyFill="1"/>
    <xf numFmtId="178" fontId="31" fillId="0" borderId="0" xfId="0" applyNumberFormat="1" applyFont="1"/>
    <xf numFmtId="4" fontId="31" fillId="0" borderId="0" xfId="0" applyNumberFormat="1" applyFont="1"/>
    <xf numFmtId="171" fontId="31" fillId="0" borderId="2" xfId="5" applyNumberFormat="1" applyFont="1" applyBorder="1" applyAlignment="1">
      <alignment horizontal="right"/>
    </xf>
    <xf numFmtId="171" fontId="31" fillId="0" borderId="1" xfId="5" applyNumberFormat="1" applyFont="1" applyBorder="1" applyAlignment="1">
      <alignment horizontal="right"/>
    </xf>
    <xf numFmtId="0" fontId="41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6" applyFont="1" applyFill="1" applyAlignment="1">
      <alignment horizontal="left"/>
    </xf>
    <xf numFmtId="0" fontId="42" fillId="0" borderId="0" xfId="6" applyFont="1" applyFill="1"/>
    <xf numFmtId="0" fontId="42" fillId="0" borderId="0" xfId="6" applyFont="1" applyFill="1" applyAlignment="1">
      <alignment horizontal="center"/>
    </xf>
    <xf numFmtId="0" fontId="42" fillId="0" borderId="0" xfId="6" applyFont="1" applyFill="1" applyAlignment="1">
      <alignment horizontal="left"/>
    </xf>
    <xf numFmtId="37" fontId="42" fillId="0" borderId="0" xfId="6" applyNumberFormat="1" applyFont="1" applyFill="1" applyBorder="1"/>
    <xf numFmtId="165" fontId="42" fillId="0" borderId="0" xfId="1" applyFont="1" applyFill="1"/>
    <xf numFmtId="0" fontId="42" fillId="0" borderId="0" xfId="0" applyFont="1" applyFill="1" applyAlignment="1"/>
    <xf numFmtId="0" fontId="42" fillId="0" borderId="0" xfId="0" applyFont="1" applyFill="1"/>
    <xf numFmtId="43" fontId="42" fillId="0" borderId="0" xfId="0" applyNumberFormat="1" applyFont="1" applyFill="1"/>
    <xf numFmtId="0" fontId="42" fillId="0" borderId="0" xfId="0" applyFont="1" applyFill="1" applyAlignment="1">
      <alignment horizontal="center"/>
    </xf>
    <xf numFmtId="0" fontId="42" fillId="0" borderId="0" xfId="0" applyFont="1" applyFill="1" applyAlignment="1">
      <alignment horizontal="left"/>
    </xf>
    <xf numFmtId="0" fontId="42" fillId="2" borderId="0" xfId="0" applyFont="1" applyFill="1" applyBorder="1" applyAlignment="1" applyProtection="1">
      <alignment horizontal="left"/>
    </xf>
    <xf numFmtId="0" fontId="32" fillId="2" borderId="0" xfId="0" applyNumberFormat="1" applyFont="1" applyFill="1" applyBorder="1" applyAlignment="1" applyProtection="1">
      <alignment horizontal="center"/>
    </xf>
    <xf numFmtId="0" fontId="31" fillId="0" borderId="0" xfId="6" applyNumberFormat="1" applyFont="1" applyFill="1" applyAlignment="1">
      <alignment horizontal="center"/>
    </xf>
    <xf numFmtId="0" fontId="34" fillId="2" borderId="0" xfId="0" applyFont="1" applyFill="1" applyBorder="1" applyAlignment="1" applyProtection="1">
      <alignment horizontal="left"/>
    </xf>
    <xf numFmtId="4" fontId="43" fillId="0" borderId="0" xfId="0" applyNumberFormat="1" applyFont="1" applyAlignment="1">
      <alignment horizontal="right" vertical="center"/>
    </xf>
    <xf numFmtId="0" fontId="43" fillId="0" borderId="0" xfId="0" applyFont="1" applyAlignment="1">
      <alignment horizontal="right" vertical="center"/>
    </xf>
    <xf numFmtId="179" fontId="32" fillId="0" borderId="0" xfId="0" applyNumberFormat="1" applyFont="1" applyAlignment="1">
      <alignment horizontal="center"/>
    </xf>
    <xf numFmtId="178" fontId="31" fillId="0" borderId="0" xfId="6" applyNumberFormat="1" applyFont="1" applyFill="1" applyAlignment="1"/>
    <xf numFmtId="0" fontId="31" fillId="2" borderId="0" xfId="0" applyFont="1" applyFill="1" applyBorder="1" applyAlignment="1" applyProtection="1">
      <alignment horizontal="left"/>
    </xf>
    <xf numFmtId="0" fontId="31" fillId="0" borderId="0" xfId="6" applyFont="1" applyFill="1" applyAlignment="1">
      <alignment horizontal="left"/>
    </xf>
    <xf numFmtId="0" fontId="30" fillId="0" borderId="0" xfId="6" applyFont="1" applyFill="1" applyAlignment="1">
      <alignment horizontal="left"/>
    </xf>
    <xf numFmtId="0" fontId="31" fillId="0" borderId="0" xfId="6" applyFont="1" applyFill="1" applyAlignment="1">
      <alignment horizontal="left"/>
    </xf>
    <xf numFmtId="180" fontId="31" fillId="0" borderId="0" xfId="10" applyNumberFormat="1" applyFont="1" applyFill="1"/>
    <xf numFmtId="0" fontId="31" fillId="0" borderId="0" xfId="6" applyFont="1" applyFill="1" applyAlignment="1">
      <alignment horizontal="left"/>
    </xf>
    <xf numFmtId="0" fontId="31" fillId="0" borderId="0" xfId="6" applyFont="1" applyFill="1" applyAlignment="1">
      <alignment horizontal="left"/>
    </xf>
    <xf numFmtId="37" fontId="31" fillId="0" borderId="0" xfId="6" applyNumberFormat="1" applyFont="1" applyFill="1" applyAlignment="1">
      <alignment horizontal="left"/>
    </xf>
    <xf numFmtId="173" fontId="20" fillId="2" borderId="0" xfId="0" applyNumberFormat="1" applyFont="1" applyFill="1" applyBorder="1" applyAlignment="1" applyProtection="1">
      <alignment horizontal="center"/>
    </xf>
    <xf numFmtId="173" fontId="19" fillId="2" borderId="0" xfId="0" applyNumberFormat="1" applyFont="1" applyFill="1" applyBorder="1" applyAlignment="1" applyProtection="1">
      <alignment horizontal="center"/>
    </xf>
  </cellXfs>
  <cellStyles count="11">
    <cellStyle name="=C:\WINNT\SYSTEM32\COMMAND.COM" xfId="8"/>
    <cellStyle name="Comma" xfId="1" builtinId="3"/>
    <cellStyle name="Euro" xfId="2"/>
    <cellStyle name="Millares [0]_Estados Financ Pub Bco.Consol.2005-04" xfId="3"/>
    <cellStyle name="Millares_Estado financiero mar-04 BVP" xfId="4"/>
    <cellStyle name="Millares_Estados Financ Pub Bco.Consol.2005-04" xfId="5"/>
    <cellStyle name="Moneda_Junio 1999 y 2000 banco y conso" xfId="9"/>
    <cellStyle name="Normal" xfId="0" builtinId="0"/>
    <cellStyle name="Normal_Bal, Utl, Fluj y anex" xfId="6"/>
    <cellStyle name="Normal_Finzas_Consolidación_SIB_jun-04 (auxiliar)" xfId="7"/>
    <cellStyle name="Percent" xfId="10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ptyfsr01\reproducci&#243;n_nuevo\Documents%20and%20Settings\hcastro\Local%20Settings\Temporary%20Internet%20Files\OLKD\BCP_Estados_Financieros_dic%2004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ptyfsr01\reproducci&#243;n_nuevo\Documents%20and%20Settings\ymoreno.PANABANK\Local%20Settings\Temporary%20Internet%20Files\Content.IE5\6PCZ8D8V\Panabank\Estados%20Fina%20Auditores%20pbk%20(consolidan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ST.RES."/>
      <sheetName val="ConsolAs "/>
      <sheetName val="ConsolPs"/>
      <sheetName val="ConsolRA"/>
      <sheetName val="ConsolC"/>
      <sheetName val="Eliminaciones"/>
      <sheetName val="GPPA"/>
      <sheetName val="Hoja2"/>
      <sheetName val="Inv. Vcmto"/>
      <sheetName val="Inversiones combinado (2)"/>
      <sheetName val="Hoja1"/>
      <sheetName val="Hoja1 (2)"/>
    </sheetNames>
    <sheetDataSet>
      <sheetData sheetId="0" refreshError="1"/>
      <sheetData sheetId="1" refreshError="1"/>
      <sheetData sheetId="2" refreshError="1">
        <row r="8">
          <cell r="E8">
            <v>8010419.4499999993</v>
          </cell>
          <cell r="F8">
            <v>100</v>
          </cell>
          <cell r="G8">
            <v>0</v>
          </cell>
          <cell r="H8">
            <v>0</v>
          </cell>
          <cell r="I8">
            <v>600</v>
          </cell>
          <cell r="J8">
            <v>250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10">
          <cell r="E10">
            <v>7821103.1400000006</v>
          </cell>
          <cell r="F10">
            <v>5215.7</v>
          </cell>
          <cell r="G10">
            <v>0</v>
          </cell>
          <cell r="H10">
            <v>18925.560000000001</v>
          </cell>
          <cell r="I10">
            <v>90701.57</v>
          </cell>
          <cell r="J10">
            <v>1918.29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E11">
            <v>21912429.41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1675374.94</v>
          </cell>
          <cell r="L11">
            <v>0</v>
          </cell>
          <cell r="M11">
            <v>173983.56</v>
          </cell>
          <cell r="N11">
            <v>0</v>
          </cell>
        </row>
        <row r="12">
          <cell r="E12">
            <v>52635878.460000001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E13">
            <v>65153308.549999997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6580000</v>
          </cell>
          <cell r="L13">
            <v>0</v>
          </cell>
          <cell r="M13">
            <v>0</v>
          </cell>
          <cell r="N13">
            <v>0</v>
          </cell>
        </row>
        <row r="19">
          <cell r="E19">
            <v>43776689.019999996</v>
          </cell>
          <cell r="F19">
            <v>0</v>
          </cell>
          <cell r="G19">
            <v>0</v>
          </cell>
          <cell r="H19">
            <v>12600</v>
          </cell>
          <cell r="I19">
            <v>0</v>
          </cell>
          <cell r="J19">
            <v>0</v>
          </cell>
          <cell r="K19">
            <v>500000</v>
          </cell>
          <cell r="L19">
            <v>0</v>
          </cell>
          <cell r="M19">
            <v>0</v>
          </cell>
        </row>
        <row r="21">
          <cell r="E21">
            <v>369060098.80000001</v>
          </cell>
          <cell r="G21">
            <v>0</v>
          </cell>
          <cell r="H21">
            <v>0</v>
          </cell>
          <cell r="I21">
            <v>25381186.709999993</v>
          </cell>
          <cell r="J21">
            <v>3518516.23</v>
          </cell>
          <cell r="K21">
            <v>43492562.259999998</v>
          </cell>
          <cell r="L21">
            <v>0</v>
          </cell>
          <cell r="M21">
            <v>4339926.28</v>
          </cell>
          <cell r="N21">
            <v>0</v>
          </cell>
        </row>
        <row r="24">
          <cell r="E24">
            <v>6290137.75</v>
          </cell>
          <cell r="F24">
            <v>198716.45</v>
          </cell>
          <cell r="G24">
            <v>0</v>
          </cell>
          <cell r="H24">
            <v>0</v>
          </cell>
          <cell r="I24">
            <v>1000610.58</v>
          </cell>
          <cell r="J24">
            <v>39760.129999999997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31">
          <cell r="E31">
            <v>15618675.130000001</v>
          </cell>
          <cell r="F31">
            <v>0</v>
          </cell>
          <cell r="G31">
            <v>0</v>
          </cell>
          <cell r="H31">
            <v>0</v>
          </cell>
          <cell r="I31">
            <v>2843621.4</v>
          </cell>
          <cell r="J31">
            <v>0</v>
          </cell>
          <cell r="K31">
            <v>42106.39</v>
          </cell>
          <cell r="L31">
            <v>0</v>
          </cell>
          <cell r="M31">
            <v>0</v>
          </cell>
        </row>
        <row r="32">
          <cell r="E32">
            <v>8607309.8800000008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6">
          <cell r="E36">
            <v>12485982.280000001</v>
          </cell>
          <cell r="F36">
            <v>5280.3899999999994</v>
          </cell>
          <cell r="G36">
            <v>307127.43</v>
          </cell>
          <cell r="H36">
            <v>0</v>
          </cell>
          <cell r="I36">
            <v>361617.53999999992</v>
          </cell>
          <cell r="J36">
            <v>14669.519999999999</v>
          </cell>
          <cell r="K36">
            <v>0</v>
          </cell>
          <cell r="L36">
            <v>0</v>
          </cell>
          <cell r="M36">
            <v>0</v>
          </cell>
          <cell r="N36">
            <v>836806.49</v>
          </cell>
        </row>
        <row r="40">
          <cell r="E40">
            <v>1128578.07</v>
          </cell>
          <cell r="F40">
            <v>0</v>
          </cell>
          <cell r="G40">
            <v>868.32000000000016</v>
          </cell>
          <cell r="H40">
            <v>0</v>
          </cell>
          <cell r="I40">
            <v>149134.95000000001</v>
          </cell>
          <cell r="J40">
            <v>319.74</v>
          </cell>
          <cell r="K40">
            <v>17755</v>
          </cell>
          <cell r="L40">
            <v>0</v>
          </cell>
          <cell r="M40">
            <v>0</v>
          </cell>
          <cell r="N40">
            <v>12832.569999999996</v>
          </cell>
        </row>
        <row r="42">
          <cell r="E42">
            <v>3818811.0699999989</v>
          </cell>
          <cell r="F42">
            <v>0</v>
          </cell>
          <cell r="G42">
            <v>0</v>
          </cell>
          <cell r="H42">
            <v>0</v>
          </cell>
          <cell r="I42">
            <v>114626.08</v>
          </cell>
          <cell r="J42">
            <v>0</v>
          </cell>
          <cell r="K42">
            <v>1066427.01</v>
          </cell>
          <cell r="L42">
            <v>0</v>
          </cell>
          <cell r="M42">
            <v>226824.52</v>
          </cell>
          <cell r="N42">
            <v>0</v>
          </cell>
        </row>
        <row r="43">
          <cell r="E43">
            <v>542861.09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1808.33</v>
          </cell>
          <cell r="L43">
            <v>0</v>
          </cell>
          <cell r="M43">
            <v>0</v>
          </cell>
          <cell r="N43">
            <v>0</v>
          </cell>
        </row>
        <row r="44">
          <cell r="E44">
            <v>917090.29999999993</v>
          </cell>
          <cell r="F44">
            <v>0</v>
          </cell>
          <cell r="G44">
            <v>0</v>
          </cell>
          <cell r="H44">
            <v>0</v>
          </cell>
          <cell r="I44">
            <v>531.54</v>
          </cell>
          <cell r="J44">
            <v>0</v>
          </cell>
          <cell r="K44">
            <v>19816.769999999997</v>
          </cell>
          <cell r="L44">
            <v>0</v>
          </cell>
          <cell r="M44">
            <v>0</v>
          </cell>
          <cell r="N44">
            <v>0</v>
          </cell>
        </row>
        <row r="45">
          <cell r="E45">
            <v>4722730.45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E46">
            <v>7176424.4900000002</v>
          </cell>
          <cell r="F46">
            <v>372599.21</v>
          </cell>
          <cell r="G46">
            <v>52500</v>
          </cell>
          <cell r="H46">
            <v>64.790000000000006</v>
          </cell>
          <cell r="I46">
            <v>360100.50000000006</v>
          </cell>
          <cell r="J46">
            <v>137997.17000000001</v>
          </cell>
          <cell r="K46">
            <v>0</v>
          </cell>
          <cell r="L46">
            <v>50000</v>
          </cell>
          <cell r="M46">
            <v>0</v>
          </cell>
          <cell r="N46">
            <v>342321.13</v>
          </cell>
        </row>
        <row r="47">
          <cell r="E47">
            <v>3132120.35</v>
          </cell>
          <cell r="F47">
            <v>447844.85</v>
          </cell>
          <cell r="G47">
            <v>0</v>
          </cell>
          <cell r="H47">
            <v>0</v>
          </cell>
          <cell r="I47">
            <v>0</v>
          </cell>
          <cell r="J47">
            <v>41592.89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E48">
            <v>1824139.9474999998</v>
          </cell>
          <cell r="F48">
            <v>57627.770499999999</v>
          </cell>
          <cell r="G48">
            <v>0</v>
          </cell>
          <cell r="H48">
            <v>0</v>
          </cell>
          <cell r="I48">
            <v>290177.06819999998</v>
          </cell>
          <cell r="J48">
            <v>11530.437699999999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F49">
            <v>0</v>
          </cell>
          <cell r="G49">
            <v>0</v>
          </cell>
          <cell r="H49">
            <v>225099.91</v>
          </cell>
          <cell r="I49">
            <v>16865.41</v>
          </cell>
          <cell r="J49">
            <v>1000</v>
          </cell>
          <cell r="K49">
            <v>0</v>
          </cell>
          <cell r="L49">
            <v>0</v>
          </cell>
          <cell r="M49">
            <v>0</v>
          </cell>
          <cell r="N49">
            <v>30179.05</v>
          </cell>
        </row>
        <row r="51">
          <cell r="B51">
            <v>638590439.59390008</v>
          </cell>
          <cell r="C51">
            <v>-86760539.039999992</v>
          </cell>
          <cell r="D51">
            <v>725350978.63390005</v>
          </cell>
          <cell r="E51">
            <v>625608984.5675</v>
          </cell>
          <cell r="F51">
            <v>7380665.9604999991</v>
          </cell>
          <cell r="G51">
            <v>360495.75</v>
          </cell>
          <cell r="H51">
            <v>256690.26</v>
          </cell>
          <cell r="I51">
            <v>28608552.188199993</v>
          </cell>
          <cell r="J51">
            <v>3688034.1477000001</v>
          </cell>
          <cell r="K51">
            <v>53395850.699999996</v>
          </cell>
          <cell r="L51">
            <v>50000</v>
          </cell>
          <cell r="M51">
            <v>4740734.3599999994</v>
          </cell>
          <cell r="N51">
            <v>1260970.7</v>
          </cell>
        </row>
      </sheetData>
      <sheetData sheetId="3" refreshError="1">
        <row r="23">
          <cell r="E23">
            <v>1483421.56</v>
          </cell>
          <cell r="F23">
            <v>139143.19</v>
          </cell>
          <cell r="G23">
            <v>11869.38</v>
          </cell>
          <cell r="H23">
            <v>5750.3</v>
          </cell>
          <cell r="I23">
            <v>123021.96</v>
          </cell>
          <cell r="J23">
            <v>18713.960000000003</v>
          </cell>
          <cell r="K23">
            <v>0</v>
          </cell>
          <cell r="L23">
            <v>0</v>
          </cell>
          <cell r="M23">
            <v>0</v>
          </cell>
          <cell r="N23">
            <v>212063.61</v>
          </cell>
        </row>
        <row r="34">
          <cell r="C34">
            <v>82829</v>
          </cell>
          <cell r="E34">
            <v>5473553.7675000038</v>
          </cell>
          <cell r="F34">
            <v>159301.28999999995</v>
          </cell>
          <cell r="G34">
            <v>21861.9</v>
          </cell>
          <cell r="H34">
            <v>17381.360000000004</v>
          </cell>
          <cell r="I34">
            <v>671308.41820000007</v>
          </cell>
          <cell r="J34">
            <v>206590.8876999999</v>
          </cell>
          <cell r="K34">
            <v>461888.91000000108</v>
          </cell>
          <cell r="M34">
            <v>85333.299999999988</v>
          </cell>
          <cell r="N34">
            <v>44494.909999999902</v>
          </cell>
        </row>
        <row r="35">
          <cell r="E35">
            <v>-340875</v>
          </cell>
          <cell r="G35">
            <v>0</v>
          </cell>
        </row>
        <row r="36">
          <cell r="C36">
            <v>220381.78999999998</v>
          </cell>
          <cell r="E36">
            <v>7910271.8200000003</v>
          </cell>
          <cell r="F36">
            <v>437124.8</v>
          </cell>
          <cell r="G36">
            <v>-29147.329999999998</v>
          </cell>
          <cell r="H36">
            <v>-76971.87</v>
          </cell>
          <cell r="I36">
            <v>1687590.17</v>
          </cell>
          <cell r="J36">
            <v>782489.92999999993</v>
          </cell>
          <cell r="K36">
            <v>1264593.1299999999</v>
          </cell>
          <cell r="M36">
            <v>1506442.81</v>
          </cell>
          <cell r="N36">
            <v>-659541.85</v>
          </cell>
        </row>
      </sheetData>
      <sheetData sheetId="4" refreshError="1"/>
      <sheetData sheetId="5" refreshError="1"/>
      <sheetData sheetId="6" refreshError="1">
        <row r="23">
          <cell r="B23">
            <v>2331722.65</v>
          </cell>
        </row>
        <row r="24">
          <cell r="B24">
            <v>315192.84999999998</v>
          </cell>
        </row>
        <row r="25">
          <cell r="B25">
            <v>46056.69</v>
          </cell>
        </row>
        <row r="26">
          <cell r="B26">
            <v>68566.11</v>
          </cell>
        </row>
        <row r="29">
          <cell r="B29">
            <v>238000</v>
          </cell>
        </row>
        <row r="30">
          <cell r="B30">
            <v>3743.5</v>
          </cell>
        </row>
        <row r="32">
          <cell r="B32">
            <v>887867.67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ciónA"/>
      <sheetName val="ConsolidaciónP"/>
      <sheetName val="ConsolidaciónR"/>
      <sheetName val="ConsolidaciónC"/>
      <sheetName val="Eliminaciones"/>
    </sheetNames>
    <sheetDataSet>
      <sheetData sheetId="0" refreshError="1">
        <row r="4">
          <cell r="K4" t="str">
            <v>Overseas</v>
          </cell>
        </row>
        <row r="5">
          <cell r="B5" t="str">
            <v>Total</v>
          </cell>
          <cell r="F5" t="str">
            <v>Panamericana</v>
          </cell>
          <cell r="G5" t="str">
            <v>Panamericana</v>
          </cell>
          <cell r="H5" t="str">
            <v>Panafinanzas,</v>
          </cell>
          <cell r="I5" t="str">
            <v xml:space="preserve">Panafactoring, </v>
          </cell>
          <cell r="J5" t="str">
            <v>Panabank</v>
          </cell>
          <cell r="K5" t="str">
            <v>Hampton</v>
          </cell>
          <cell r="L5" t="str">
            <v>Ameritrade</v>
          </cell>
        </row>
        <row r="6">
          <cell r="B6" t="str">
            <v>Consolidado</v>
          </cell>
          <cell r="F6" t="str">
            <v>de Leasing, S. A.</v>
          </cell>
          <cell r="G6" t="str">
            <v>de Valores, S. A.</v>
          </cell>
          <cell r="H6" t="str">
            <v>S. A.</v>
          </cell>
          <cell r="I6" t="str">
            <v>S. A.</v>
          </cell>
          <cell r="J6" t="str">
            <v>Trust Ltd.</v>
          </cell>
          <cell r="K6" t="str">
            <v>Funding</v>
          </cell>
          <cell r="L6" t="str">
            <v>Finance Corp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0"/>
  <sheetViews>
    <sheetView showGridLines="0" topLeftCell="A42" zoomScaleNormal="100" zoomScaleSheetLayoutView="90" workbookViewId="0">
      <selection activeCell="J49" sqref="J49"/>
    </sheetView>
  </sheetViews>
  <sheetFormatPr defaultColWidth="10.42578125" defaultRowHeight="12.75"/>
  <cols>
    <col min="1" max="2" width="1.42578125" style="150" customWidth="1"/>
    <col min="3" max="3" width="2" style="150" customWidth="1"/>
    <col min="4" max="7" width="1.42578125" style="150" customWidth="1"/>
    <col min="8" max="8" width="42.42578125" style="150" customWidth="1"/>
    <col min="9" max="9" width="4.42578125" style="150" customWidth="1"/>
    <col min="10" max="10" width="9" style="151" customWidth="1"/>
    <col min="11" max="11" width="3.140625" style="151" customWidth="1"/>
    <col min="12" max="12" width="12.42578125" style="150" customWidth="1"/>
    <col min="13" max="13" width="3.85546875" style="150" customWidth="1"/>
    <col min="14" max="14" width="12.42578125" style="150" customWidth="1"/>
    <col min="15" max="15" width="10.42578125" style="150"/>
    <col min="16" max="16" width="13.7109375" style="152" bestFit="1" customWidth="1"/>
    <col min="17" max="16384" width="10.42578125" style="150"/>
  </cols>
  <sheetData>
    <row r="1" spans="1:16">
      <c r="A1" s="302" t="s">
        <v>327</v>
      </c>
    </row>
    <row r="2" spans="1:16" s="165" customFormat="1">
      <c r="A2" s="303" t="s">
        <v>328</v>
      </c>
      <c r="J2" s="183"/>
      <c r="K2" s="183"/>
      <c r="P2" s="184"/>
    </row>
    <row r="3" spans="1:16">
      <c r="A3" s="153" t="s">
        <v>296</v>
      </c>
    </row>
    <row r="4" spans="1:16" ht="11.25" customHeight="1">
      <c r="A4" s="153"/>
    </row>
    <row r="5" spans="1:16">
      <c r="A5" s="149" t="s">
        <v>298</v>
      </c>
    </row>
    <row r="6" spans="1:16" ht="11.25" customHeight="1">
      <c r="A6" s="153"/>
      <c r="L6" s="327"/>
      <c r="N6" s="327"/>
    </row>
    <row r="7" spans="1:16">
      <c r="A7" s="154" t="s">
        <v>338</v>
      </c>
      <c r="B7" s="153"/>
      <c r="C7" s="153"/>
      <c r="D7" s="153"/>
      <c r="E7" s="153"/>
      <c r="F7" s="153"/>
      <c r="G7" s="153"/>
      <c r="H7" s="153"/>
      <c r="I7" s="153"/>
      <c r="L7" s="163"/>
      <c r="N7" s="163"/>
    </row>
    <row r="8" spans="1:16" ht="9.1999999999999993" customHeight="1">
      <c r="A8" s="154"/>
      <c r="B8" s="153"/>
      <c r="C8" s="153"/>
      <c r="D8" s="153"/>
      <c r="E8" s="153"/>
      <c r="F8" s="153"/>
      <c r="G8" s="153"/>
      <c r="H8" s="153"/>
      <c r="I8" s="153"/>
    </row>
    <row r="9" spans="1:16">
      <c r="A9" s="153" t="s">
        <v>213</v>
      </c>
      <c r="B9" s="153"/>
      <c r="C9" s="153"/>
      <c r="D9" s="153"/>
      <c r="E9" s="153"/>
      <c r="F9" s="153"/>
      <c r="G9" s="153"/>
      <c r="H9" s="153"/>
      <c r="I9" s="153"/>
    </row>
    <row r="10" spans="1:16" ht="13.5" thickBot="1"/>
    <row r="11" spans="1:16" ht="13.5" thickTop="1">
      <c r="A11" s="155"/>
      <c r="B11" s="155"/>
      <c r="C11" s="155"/>
      <c r="D11" s="155"/>
      <c r="E11" s="155"/>
      <c r="F11" s="155"/>
      <c r="G11" s="155"/>
      <c r="H11" s="155"/>
      <c r="I11" s="155"/>
      <c r="J11" s="156"/>
      <c r="K11" s="156"/>
      <c r="L11" s="155"/>
      <c r="M11" s="155"/>
      <c r="N11" s="155"/>
    </row>
    <row r="12" spans="1:16">
      <c r="A12" s="157"/>
      <c r="J12" s="159" t="s">
        <v>143</v>
      </c>
      <c r="K12" s="158"/>
      <c r="L12" s="159">
        <v>2017</v>
      </c>
      <c r="M12" s="158"/>
      <c r="N12" s="159">
        <v>2016</v>
      </c>
    </row>
    <row r="13" spans="1:16">
      <c r="A13" s="157" t="s">
        <v>142</v>
      </c>
      <c r="J13" s="158"/>
      <c r="K13" s="158"/>
      <c r="L13" s="159"/>
      <c r="M13" s="158"/>
      <c r="N13" s="159"/>
    </row>
    <row r="14" spans="1:16">
      <c r="A14" s="150" t="s">
        <v>297</v>
      </c>
      <c r="L14" s="160">
        <f>SUM(L15:L18)</f>
        <v>1366256</v>
      </c>
      <c r="M14" s="161"/>
      <c r="N14" s="160">
        <f>SUM(N15:N18)</f>
        <v>1281428.6000000001</v>
      </c>
    </row>
    <row r="15" spans="1:16">
      <c r="B15" s="154" t="s">
        <v>181</v>
      </c>
      <c r="J15" s="151">
        <v>3</v>
      </c>
      <c r="L15" s="162">
        <v>341904.6</v>
      </c>
      <c r="M15" s="161"/>
      <c r="N15" s="162">
        <v>315896.3</v>
      </c>
    </row>
    <row r="16" spans="1:16" hidden="1">
      <c r="B16" s="150" t="s">
        <v>295</v>
      </c>
      <c r="L16" s="162">
        <v>0</v>
      </c>
      <c r="M16" s="161"/>
      <c r="N16" s="162">
        <v>0</v>
      </c>
    </row>
    <row r="17" spans="1:15">
      <c r="B17" s="150" t="s">
        <v>299</v>
      </c>
      <c r="J17" s="151">
        <v>5</v>
      </c>
      <c r="L17" s="162">
        <v>48572.4</v>
      </c>
      <c r="M17" s="161"/>
      <c r="N17" s="162">
        <v>44859.3</v>
      </c>
    </row>
    <row r="18" spans="1:15">
      <c r="B18" s="150" t="s">
        <v>300</v>
      </c>
      <c r="J18" s="151" t="s">
        <v>352</v>
      </c>
      <c r="L18" s="160">
        <v>975779</v>
      </c>
      <c r="M18" s="161"/>
      <c r="N18" s="160">
        <v>920673</v>
      </c>
    </row>
    <row r="19" spans="1:15">
      <c r="L19" s="162"/>
      <c r="M19" s="161"/>
      <c r="N19" s="162"/>
    </row>
    <row r="20" spans="1:15">
      <c r="A20" s="150" t="s">
        <v>306</v>
      </c>
      <c r="L20" s="160">
        <f>SUM(L21:L23)</f>
        <v>31037.3</v>
      </c>
      <c r="M20" s="161"/>
      <c r="N20" s="160">
        <f>SUM(N21:N23)</f>
        <v>29974.300000000003</v>
      </c>
    </row>
    <row r="21" spans="1:15">
      <c r="B21" s="150" t="s">
        <v>319</v>
      </c>
      <c r="J21" s="151">
        <v>9</v>
      </c>
      <c r="L21" s="162">
        <v>528.9</v>
      </c>
      <c r="M21" s="161"/>
      <c r="N21" s="162">
        <v>318</v>
      </c>
    </row>
    <row r="22" spans="1:15">
      <c r="B22" s="150" t="s">
        <v>182</v>
      </c>
      <c r="J22" s="151">
        <v>10</v>
      </c>
      <c r="L22" s="162">
        <v>3501.7</v>
      </c>
      <c r="M22" s="161"/>
      <c r="N22" s="162">
        <v>3341.4</v>
      </c>
    </row>
    <row r="23" spans="1:15">
      <c r="B23" s="150" t="s">
        <v>320</v>
      </c>
      <c r="L23" s="160">
        <v>27006.7</v>
      </c>
      <c r="M23" s="161"/>
      <c r="N23" s="160">
        <v>26314.9</v>
      </c>
      <c r="O23" s="163"/>
    </row>
    <row r="24" spans="1:15" ht="9.75" customHeight="1">
      <c r="L24" s="164"/>
      <c r="M24" s="161"/>
      <c r="N24" s="164"/>
      <c r="O24" s="163"/>
    </row>
    <row r="25" spans="1:15" ht="14.85" customHeight="1">
      <c r="A25" s="150" t="s">
        <v>321</v>
      </c>
      <c r="J25" s="151">
        <v>11</v>
      </c>
      <c r="L25" s="162">
        <v>56143.4</v>
      </c>
      <c r="M25" s="161"/>
      <c r="N25" s="162">
        <v>58557.5</v>
      </c>
    </row>
    <row r="26" spans="1:15" ht="13.5" thickBot="1">
      <c r="A26" s="165" t="s">
        <v>43</v>
      </c>
      <c r="L26" s="166">
        <f>+L20+L14+L25</f>
        <v>1453436.7</v>
      </c>
      <c r="M26" s="161"/>
      <c r="N26" s="166">
        <f>+N20+N14+N25</f>
        <v>1369960.4000000001</v>
      </c>
    </row>
    <row r="27" spans="1:15" ht="13.5" thickTop="1">
      <c r="A27" s="165"/>
      <c r="L27" s="161"/>
      <c r="M27" s="161"/>
      <c r="N27" s="161"/>
    </row>
    <row r="28" spans="1:15">
      <c r="A28" s="157" t="s">
        <v>183</v>
      </c>
      <c r="L28" s="163"/>
      <c r="M28" s="163"/>
      <c r="N28" s="163"/>
    </row>
    <row r="29" spans="1:15">
      <c r="A29" s="150" t="s">
        <v>216</v>
      </c>
      <c r="L29" s="160">
        <f>SUM(L30:L34)</f>
        <v>1175068.5</v>
      </c>
      <c r="M29" s="163"/>
      <c r="N29" s="160">
        <f>SUM(N30:N34)</f>
        <v>1074251.2000000002</v>
      </c>
    </row>
    <row r="30" spans="1:15">
      <c r="B30" s="154" t="s">
        <v>217</v>
      </c>
      <c r="J30" s="151">
        <v>12</v>
      </c>
      <c r="L30" s="162">
        <v>1007565.6</v>
      </c>
      <c r="M30" s="163"/>
      <c r="N30" s="162">
        <v>931803.7</v>
      </c>
    </row>
    <row r="31" spans="1:15">
      <c r="B31" s="154" t="s">
        <v>308</v>
      </c>
      <c r="J31" s="151" t="s">
        <v>353</v>
      </c>
      <c r="L31" s="162">
        <v>448.9</v>
      </c>
      <c r="M31" s="163"/>
      <c r="N31" s="162">
        <v>758.8</v>
      </c>
    </row>
    <row r="32" spans="1:15">
      <c r="B32" s="154" t="s">
        <v>215</v>
      </c>
      <c r="J32" s="151">
        <v>15</v>
      </c>
      <c r="L32" s="162">
        <v>131717.79999999999</v>
      </c>
      <c r="M32" s="163"/>
      <c r="N32" s="162">
        <v>133759.1</v>
      </c>
    </row>
    <row r="33" spans="1:16">
      <c r="B33" s="326" t="s">
        <v>340</v>
      </c>
      <c r="J33" s="151">
        <v>17</v>
      </c>
      <c r="L33" s="162">
        <v>25071.5</v>
      </c>
      <c r="M33" s="163"/>
      <c r="N33" s="162">
        <v>0</v>
      </c>
    </row>
    <row r="34" spans="1:16">
      <c r="B34" s="150" t="s">
        <v>184</v>
      </c>
      <c r="L34" s="160">
        <v>10264.700000000001</v>
      </c>
      <c r="M34" s="161"/>
      <c r="N34" s="160">
        <v>7929.6</v>
      </c>
    </row>
    <row r="35" spans="1:16">
      <c r="L35" s="162"/>
      <c r="M35" s="163"/>
      <c r="N35" s="162"/>
    </row>
    <row r="36" spans="1:16">
      <c r="A36" s="150" t="s">
        <v>307</v>
      </c>
      <c r="L36" s="160">
        <f>SUM(L37:L39)</f>
        <v>45701.1</v>
      </c>
      <c r="M36" s="163"/>
      <c r="N36" s="160">
        <f>SUM(N37:N39)</f>
        <v>39185</v>
      </c>
    </row>
    <row r="37" spans="1:16">
      <c r="B37" s="150" t="s">
        <v>185</v>
      </c>
      <c r="L37" s="162">
        <v>24713.3</v>
      </c>
      <c r="M37" s="163"/>
      <c r="N37" s="162">
        <v>18798.2</v>
      </c>
      <c r="O37" s="163"/>
    </row>
    <row r="38" spans="1:16">
      <c r="B38" s="150" t="s">
        <v>186</v>
      </c>
      <c r="J38" s="167"/>
      <c r="L38" s="162">
        <v>5127.2</v>
      </c>
      <c r="M38" s="163"/>
      <c r="N38" s="162">
        <v>4677.7</v>
      </c>
    </row>
    <row r="39" spans="1:16">
      <c r="B39" s="150" t="s">
        <v>184</v>
      </c>
      <c r="J39" s="167"/>
      <c r="L39" s="168">
        <v>15860.6</v>
      </c>
      <c r="M39" s="163"/>
      <c r="N39" s="168">
        <v>15709.1</v>
      </c>
    </row>
    <row r="40" spans="1:16" ht="8.25" customHeight="1">
      <c r="J40" s="167"/>
      <c r="L40" s="162"/>
      <c r="M40" s="163"/>
      <c r="N40" s="162"/>
    </row>
    <row r="41" spans="1:16" ht="14.85" customHeight="1">
      <c r="A41" s="165" t="s">
        <v>59</v>
      </c>
      <c r="J41" s="167"/>
      <c r="L41" s="160">
        <f>+L36+L29</f>
        <v>1220769.6000000001</v>
      </c>
      <c r="M41" s="163"/>
      <c r="N41" s="160">
        <f>+N36+N29</f>
        <v>1113436.2000000002</v>
      </c>
      <c r="P41" s="169"/>
    </row>
    <row r="42" spans="1:16" ht="12" customHeight="1">
      <c r="A42" s="165"/>
      <c r="J42" s="167"/>
      <c r="L42" s="164"/>
      <c r="M42" s="163"/>
      <c r="N42" s="164"/>
    </row>
    <row r="43" spans="1:16" ht="14.85" customHeight="1">
      <c r="A43" s="329" t="s">
        <v>314</v>
      </c>
      <c r="B43" s="329"/>
      <c r="C43" s="329"/>
      <c r="D43" s="329"/>
      <c r="E43" s="329"/>
      <c r="F43" s="329"/>
      <c r="G43" s="329"/>
      <c r="H43" s="329"/>
      <c r="J43" s="167"/>
      <c r="L43" s="164">
        <v>0.1</v>
      </c>
      <c r="M43" s="163"/>
      <c r="N43" s="164">
        <v>0.1</v>
      </c>
    </row>
    <row r="44" spans="1:16" ht="9.75" customHeight="1">
      <c r="J44" s="167"/>
      <c r="L44" s="161"/>
      <c r="M44" s="163"/>
      <c r="N44" s="161"/>
    </row>
    <row r="45" spans="1:16">
      <c r="A45" s="154" t="s">
        <v>187</v>
      </c>
      <c r="J45" s="167"/>
      <c r="L45" s="160">
        <f>SUM(L46:L48)</f>
        <v>232667</v>
      </c>
      <c r="M45" s="163"/>
      <c r="N45" s="160">
        <f>SUM(N46:N48)</f>
        <v>256524.1</v>
      </c>
    </row>
    <row r="46" spans="1:16">
      <c r="B46" s="150" t="s">
        <v>188</v>
      </c>
      <c r="J46" s="170"/>
      <c r="L46" s="162">
        <v>155770.6</v>
      </c>
      <c r="M46" s="163"/>
      <c r="N46" s="162">
        <v>155770.6</v>
      </c>
    </row>
    <row r="47" spans="1:16">
      <c r="B47" s="150" t="s">
        <v>325</v>
      </c>
      <c r="J47" s="167"/>
    </row>
    <row r="48" spans="1:16">
      <c r="B48" s="295" t="s">
        <v>326</v>
      </c>
      <c r="J48" s="167" t="s">
        <v>354</v>
      </c>
      <c r="L48" s="162">
        <v>76896.399999999994</v>
      </c>
      <c r="M48" s="163"/>
      <c r="N48" s="162">
        <v>100753.5</v>
      </c>
    </row>
    <row r="49" spans="1:17" ht="18" customHeight="1" thickBot="1">
      <c r="A49" s="165" t="s">
        <v>189</v>
      </c>
      <c r="J49" s="167"/>
      <c r="L49" s="166">
        <f>+L45+L43+L41</f>
        <v>1453436.7000000002</v>
      </c>
      <c r="M49" s="163"/>
      <c r="N49" s="166">
        <f>+N45+N43+N41</f>
        <v>1369960.4000000001</v>
      </c>
    </row>
    <row r="50" spans="1:17" ht="20.85" customHeight="1" thickTop="1">
      <c r="A50" s="165"/>
      <c r="J50" s="167"/>
      <c r="L50" s="164"/>
      <c r="M50" s="163"/>
      <c r="N50" s="164"/>
    </row>
    <row r="51" spans="1:17" ht="20.85" customHeight="1">
      <c r="A51" s="165"/>
      <c r="J51" s="167"/>
      <c r="L51" s="164"/>
      <c r="M51" s="163"/>
      <c r="N51" s="164"/>
    </row>
    <row r="52" spans="1:17" s="172" customFormat="1">
      <c r="A52" s="150" t="s">
        <v>333</v>
      </c>
      <c r="J52" s="185"/>
      <c r="K52" s="185"/>
      <c r="L52" s="186"/>
      <c r="M52" s="186"/>
      <c r="N52" s="186"/>
      <c r="P52" s="187"/>
    </row>
    <row r="53" spans="1:17" s="172" customFormat="1" ht="15.6" customHeight="1">
      <c r="A53" s="305"/>
      <c r="B53" s="150" t="s">
        <v>332</v>
      </c>
      <c r="J53" s="185"/>
      <c r="K53" s="185"/>
      <c r="L53" s="186"/>
      <c r="M53" s="186"/>
      <c r="N53" s="186"/>
      <c r="P53" s="187"/>
    </row>
    <row r="54" spans="1:17" s="172" customFormat="1" ht="18.75" customHeight="1">
      <c r="A54" s="305"/>
      <c r="J54" s="185"/>
      <c r="K54" s="185"/>
      <c r="L54" s="186"/>
      <c r="M54" s="186"/>
      <c r="N54" s="186"/>
      <c r="P54" s="187"/>
    </row>
    <row r="55" spans="1:17" s="172" customFormat="1">
      <c r="A55" s="305"/>
      <c r="J55" s="185"/>
      <c r="K55" s="185"/>
      <c r="L55" s="186"/>
      <c r="M55" s="186"/>
      <c r="N55" s="186"/>
      <c r="P55" s="187"/>
    </row>
    <row r="56" spans="1:17" s="172" customFormat="1">
      <c r="A56" s="305"/>
      <c r="J56" s="185"/>
      <c r="K56" s="185"/>
      <c r="L56" s="186"/>
      <c r="M56" s="186"/>
      <c r="N56" s="186"/>
      <c r="P56" s="187"/>
    </row>
    <row r="57" spans="1:17" s="172" customFormat="1">
      <c r="A57" s="172" t="s">
        <v>253</v>
      </c>
      <c r="J57" s="185"/>
      <c r="K57" s="185"/>
      <c r="L57" s="186"/>
      <c r="M57" s="186"/>
      <c r="N57" s="186"/>
      <c r="P57" s="187"/>
    </row>
    <row r="58" spans="1:17" s="172" customFormat="1">
      <c r="A58" s="305"/>
      <c r="J58" s="185"/>
      <c r="K58" s="185"/>
      <c r="L58" s="186"/>
      <c r="M58" s="186"/>
      <c r="N58" s="186"/>
      <c r="P58" s="187"/>
    </row>
    <row r="59" spans="1:17" s="172" customFormat="1">
      <c r="A59" s="305"/>
      <c r="J59" s="185"/>
      <c r="K59" s="185"/>
      <c r="L59" s="186"/>
      <c r="M59" s="186"/>
      <c r="N59" s="186"/>
      <c r="P59" s="187"/>
    </row>
    <row r="60" spans="1:17" s="172" customFormat="1">
      <c r="A60" s="305"/>
      <c r="J60" s="185"/>
      <c r="K60" s="185"/>
      <c r="L60" s="186"/>
      <c r="M60" s="186"/>
      <c r="N60" s="186"/>
      <c r="P60" s="187"/>
    </row>
    <row r="61" spans="1:17" s="172" customFormat="1">
      <c r="J61" s="185"/>
      <c r="K61" s="185"/>
      <c r="L61" s="186"/>
      <c r="M61" s="186"/>
      <c r="N61" s="186"/>
      <c r="P61" s="187"/>
      <c r="Q61" s="172" t="s">
        <v>281</v>
      </c>
    </row>
    <row r="62" spans="1:17" s="172" customFormat="1" ht="12" customHeight="1">
      <c r="J62" s="185"/>
      <c r="K62" s="185"/>
      <c r="L62" s="186"/>
      <c r="M62" s="186"/>
      <c r="N62" s="186"/>
      <c r="P62" s="187"/>
    </row>
    <row r="63" spans="1:17" s="172" customFormat="1" hidden="1">
      <c r="J63" s="185"/>
      <c r="K63" s="185"/>
      <c r="L63" s="186"/>
      <c r="M63" s="186"/>
      <c r="N63" s="186"/>
      <c r="P63" s="187"/>
    </row>
    <row r="64" spans="1:17" ht="13.5" thickBot="1"/>
    <row r="65" spans="1:16" ht="13.5" thickTop="1">
      <c r="A65" s="155"/>
      <c r="B65" s="155"/>
      <c r="C65" s="155"/>
      <c r="D65" s="155"/>
      <c r="E65" s="155"/>
      <c r="F65" s="155"/>
      <c r="G65" s="155"/>
      <c r="H65" s="155"/>
      <c r="I65" s="155"/>
      <c r="J65" s="156"/>
      <c r="K65" s="156"/>
      <c r="L65" s="155"/>
      <c r="M65" s="155"/>
      <c r="N65" s="155"/>
    </row>
    <row r="66" spans="1:16">
      <c r="A66" s="173"/>
      <c r="B66" s="173"/>
      <c r="C66" s="173"/>
      <c r="D66" s="173"/>
      <c r="E66" s="173"/>
      <c r="F66" s="173"/>
      <c r="G66" s="173"/>
      <c r="H66" s="173"/>
      <c r="I66" s="173"/>
      <c r="J66" s="174"/>
      <c r="K66" s="174"/>
      <c r="L66" s="173"/>
      <c r="M66" s="173"/>
      <c r="N66" s="173"/>
    </row>
    <row r="67" spans="1:16">
      <c r="A67" s="304" t="s">
        <v>254</v>
      </c>
      <c r="I67" s="151"/>
      <c r="K67" s="176"/>
      <c r="L67" s="171"/>
      <c r="M67" s="176"/>
      <c r="N67" s="171"/>
      <c r="O67" s="176"/>
    </row>
    <row r="68" spans="1:16">
      <c r="A68" s="175"/>
      <c r="I68" s="151"/>
      <c r="K68" s="176"/>
      <c r="L68" s="171"/>
      <c r="M68" s="176"/>
      <c r="N68" s="171"/>
      <c r="O68" s="176"/>
    </row>
    <row r="69" spans="1:16" s="178" customFormat="1">
      <c r="A69" s="177"/>
      <c r="H69" s="179"/>
      <c r="I69" s="180"/>
      <c r="J69" s="181"/>
      <c r="P69" s="152"/>
    </row>
    <row r="70" spans="1:16" s="178" customFormat="1">
      <c r="A70" s="181"/>
      <c r="H70" s="179"/>
      <c r="I70" s="180"/>
      <c r="J70" s="181"/>
      <c r="P70" s="152"/>
    </row>
    <row r="71" spans="1:16" s="178" customFormat="1">
      <c r="A71" s="328" t="s">
        <v>341</v>
      </c>
      <c r="B71" s="328"/>
      <c r="C71" s="328"/>
      <c r="D71" s="328"/>
      <c r="E71" s="328"/>
      <c r="F71" s="328"/>
      <c r="G71" s="328"/>
      <c r="H71" s="328"/>
      <c r="I71" s="328"/>
      <c r="J71" s="328"/>
      <c r="K71" s="328"/>
      <c r="L71" s="328"/>
      <c r="M71" s="328"/>
      <c r="N71" s="328"/>
      <c r="O71" s="328"/>
      <c r="P71" s="304"/>
    </row>
    <row r="72" spans="1:16" s="178" customFormat="1">
      <c r="A72" s="328" t="s">
        <v>342</v>
      </c>
      <c r="B72" s="328"/>
      <c r="C72" s="328"/>
      <c r="D72" s="328"/>
      <c r="E72" s="328"/>
      <c r="F72" s="328"/>
      <c r="G72" s="328"/>
      <c r="H72" s="328"/>
      <c r="I72" s="328"/>
      <c r="J72" s="328"/>
      <c r="K72" s="328"/>
      <c r="L72" s="328"/>
      <c r="M72" s="328"/>
      <c r="N72" s="328"/>
      <c r="O72" s="328"/>
      <c r="P72" s="304"/>
    </row>
    <row r="73" spans="1:16" s="178" customFormat="1">
      <c r="A73" s="328"/>
      <c r="B73" s="328"/>
      <c r="C73" s="328"/>
      <c r="D73" s="328"/>
      <c r="E73" s="328"/>
      <c r="F73" s="328"/>
      <c r="G73" s="328"/>
      <c r="H73" s="328"/>
      <c r="I73" s="328"/>
      <c r="J73" s="328"/>
      <c r="K73" s="328"/>
      <c r="L73" s="328"/>
      <c r="M73" s="328"/>
      <c r="N73" s="328"/>
      <c r="O73" s="328"/>
      <c r="P73" s="304"/>
    </row>
    <row r="74" spans="1:16" s="178" customFormat="1">
      <c r="A74" s="328"/>
      <c r="B74" s="328"/>
      <c r="C74" s="328"/>
      <c r="D74" s="328"/>
      <c r="E74" s="328"/>
      <c r="F74" s="328"/>
      <c r="G74" s="328"/>
      <c r="H74" s="328"/>
      <c r="I74" s="328"/>
      <c r="J74" s="328"/>
      <c r="K74" s="328"/>
      <c r="L74" s="328"/>
      <c r="M74" s="328"/>
      <c r="N74" s="328"/>
      <c r="O74" s="328"/>
      <c r="P74" s="304"/>
    </row>
    <row r="75" spans="1:16" s="178" customFormat="1">
      <c r="A75" s="328"/>
      <c r="B75" s="328"/>
      <c r="C75" s="328"/>
      <c r="D75" s="328"/>
      <c r="E75" s="328"/>
      <c r="F75" s="328"/>
      <c r="G75" s="328"/>
      <c r="H75" s="328"/>
      <c r="I75" s="328"/>
      <c r="J75" s="328"/>
      <c r="K75" s="328"/>
      <c r="L75" s="328"/>
      <c r="M75" s="328"/>
      <c r="N75" s="328"/>
      <c r="O75" s="328"/>
      <c r="P75" s="304"/>
    </row>
    <row r="76" spans="1:16" s="178" customFormat="1">
      <c r="A76" s="328"/>
      <c r="B76" s="328"/>
      <c r="C76" s="328"/>
      <c r="D76" s="328"/>
      <c r="E76" s="328"/>
      <c r="F76" s="328"/>
      <c r="G76" s="328"/>
      <c r="H76" s="328"/>
      <c r="I76" s="328"/>
      <c r="J76" s="328"/>
      <c r="K76" s="328"/>
      <c r="L76" s="328"/>
      <c r="M76" s="328"/>
      <c r="N76" s="328"/>
      <c r="O76" s="328"/>
    </row>
    <row r="77" spans="1:16" s="178" customFormat="1">
      <c r="A77" s="328"/>
      <c r="B77" s="328"/>
      <c r="C77" s="328"/>
      <c r="D77" s="328"/>
      <c r="E77" s="328"/>
      <c r="F77" s="328"/>
      <c r="G77" s="328"/>
      <c r="H77" s="328"/>
      <c r="I77" s="328"/>
      <c r="J77" s="328"/>
      <c r="K77" s="328"/>
      <c r="L77" s="328"/>
      <c r="M77" s="328"/>
      <c r="N77" s="328"/>
      <c r="O77" s="328"/>
    </row>
    <row r="78" spans="1:16" s="178" customFormat="1">
      <c r="A78" s="328"/>
      <c r="B78" s="328" t="s">
        <v>343</v>
      </c>
      <c r="C78" s="328"/>
      <c r="D78" s="328"/>
      <c r="E78" s="328"/>
      <c r="F78" s="328"/>
      <c r="G78" s="328"/>
      <c r="H78" s="328"/>
      <c r="I78" s="328"/>
      <c r="J78" s="328"/>
      <c r="K78" s="328"/>
      <c r="L78" s="328"/>
      <c r="M78" s="328"/>
      <c r="N78" s="328"/>
      <c r="P78" s="178" t="s">
        <v>329</v>
      </c>
    </row>
    <row r="79" spans="1:16">
      <c r="A79" s="328"/>
      <c r="B79" s="328" t="s">
        <v>344</v>
      </c>
      <c r="C79" s="328"/>
      <c r="D79" s="328"/>
      <c r="E79" s="328"/>
      <c r="F79" s="328"/>
      <c r="G79" s="328"/>
      <c r="H79" s="328"/>
      <c r="I79" s="328"/>
      <c r="J79" s="328"/>
      <c r="K79" s="328"/>
      <c r="L79" s="328"/>
      <c r="M79" s="328"/>
      <c r="N79" s="328"/>
      <c r="O79" s="178"/>
      <c r="P79" s="178" t="s">
        <v>330</v>
      </c>
    </row>
    <row r="80" spans="1:16">
      <c r="A80" s="304"/>
      <c r="B80" s="304"/>
      <c r="C80" s="304"/>
      <c r="D80" s="304"/>
      <c r="E80" s="304"/>
      <c r="F80" s="304"/>
      <c r="G80" s="304"/>
      <c r="H80" s="304"/>
      <c r="I80" s="304"/>
      <c r="J80" s="304"/>
      <c r="K80" s="304"/>
      <c r="L80" s="304"/>
      <c r="M80" s="304"/>
      <c r="N80" s="324"/>
      <c r="O80" s="304"/>
      <c r="P80" s="178" t="s">
        <v>331</v>
      </c>
    </row>
  </sheetData>
  <mergeCells count="1">
    <mergeCell ref="A43:H43"/>
  </mergeCells>
  <phoneticPr fontId="0" type="noConversion"/>
  <pageMargins left="0.9" right="0.7" top="0.6" bottom="0.4" header="0.39370078740157499" footer="0.8"/>
  <pageSetup scale="90" orientation="portrait" blackAndWhite="1" horizontalDpi="300" verticalDpi="300" r:id="rId1"/>
  <headerFooter alignWithMargins="0">
    <oddFooter>&amp;C&amp;"Univers for KPMG,Regular"5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62"/>
  <sheetViews>
    <sheetView topLeftCell="B1" workbookViewId="0">
      <selection activeCell="B1" sqref="A1:IV65536"/>
    </sheetView>
  </sheetViews>
  <sheetFormatPr defaultColWidth="11.42578125" defaultRowHeight="12.75"/>
  <cols>
    <col min="1" max="1" width="45" style="12" customWidth="1"/>
    <col min="2" max="2" width="12.42578125" style="12" customWidth="1"/>
    <col min="3" max="3" width="13.42578125" style="12" customWidth="1"/>
    <col min="4" max="4" width="13.140625" style="12" customWidth="1"/>
    <col min="5" max="5" width="16.42578125" style="12" customWidth="1"/>
    <col min="6" max="6" width="13.140625" style="12" customWidth="1"/>
    <col min="7" max="7" width="14.42578125" style="12" customWidth="1"/>
    <col min="8" max="8" width="16.42578125" style="12" customWidth="1"/>
    <col min="9" max="9" width="13.140625" style="12" customWidth="1"/>
    <col min="10" max="10" width="16.42578125" style="12" customWidth="1"/>
    <col min="11" max="11" width="13.85546875" style="12" customWidth="1"/>
    <col min="12" max="12" width="14.85546875" style="12" customWidth="1"/>
    <col min="13" max="15" width="13.140625" style="12" customWidth="1"/>
    <col min="16" max="16" width="15.42578125" style="12" bestFit="1" customWidth="1"/>
    <col min="17" max="16384" width="11.42578125" style="12"/>
  </cols>
  <sheetData>
    <row r="1" spans="1:16">
      <c r="A1" s="11" t="s">
        <v>126</v>
      </c>
      <c r="G1" s="13"/>
    </row>
    <row r="2" spans="1:16">
      <c r="A2" s="11"/>
      <c r="G2" s="13"/>
    </row>
    <row r="3" spans="1:16">
      <c r="A3" s="11" t="s">
        <v>127</v>
      </c>
      <c r="B3" s="14"/>
      <c r="C3" s="14"/>
      <c r="D3" s="14"/>
      <c r="E3" s="14"/>
      <c r="F3" s="14"/>
      <c r="G3" s="15"/>
      <c r="H3" s="14"/>
      <c r="I3" s="14"/>
      <c r="J3" s="14"/>
      <c r="K3" s="14"/>
      <c r="L3" s="14"/>
      <c r="M3" s="16"/>
      <c r="N3" s="16"/>
      <c r="O3" s="16"/>
      <c r="P3" s="16"/>
    </row>
    <row r="4" spans="1:16">
      <c r="A4" s="11" t="s">
        <v>0</v>
      </c>
      <c r="B4" s="14"/>
      <c r="C4" s="14"/>
      <c r="D4" s="14"/>
      <c r="E4" s="14"/>
      <c r="F4" s="14"/>
      <c r="G4" s="15"/>
      <c r="H4" s="14"/>
      <c r="I4" s="14"/>
      <c r="J4" s="14"/>
      <c r="K4" s="14"/>
      <c r="L4" s="14"/>
      <c r="M4" s="16"/>
      <c r="N4" s="16"/>
      <c r="O4" s="16"/>
      <c r="P4" s="16"/>
    </row>
    <row r="5" spans="1:16">
      <c r="A5" s="11"/>
      <c r="B5" s="14"/>
      <c r="C5" s="14"/>
      <c r="D5" s="14"/>
      <c r="E5" s="14"/>
      <c r="F5" s="14"/>
      <c r="G5" s="15"/>
      <c r="H5" s="14"/>
      <c r="I5" s="14"/>
      <c r="J5" s="14"/>
      <c r="K5" s="14"/>
      <c r="L5" s="14"/>
      <c r="M5" s="16"/>
      <c r="N5" s="17" t="str">
        <f>+[2]ConsolidaciónA!K4</f>
        <v>Overseas</v>
      </c>
      <c r="O5" s="16"/>
      <c r="P5" s="16"/>
    </row>
    <row r="6" spans="1:16">
      <c r="B6" s="17" t="str">
        <f>+[2]ConsolidaciónA!B5</f>
        <v>Total</v>
      </c>
      <c r="C6" s="17"/>
      <c r="D6" s="17"/>
      <c r="E6" s="17" t="s">
        <v>1</v>
      </c>
      <c r="F6" s="17"/>
      <c r="G6" s="18"/>
      <c r="H6" s="17" t="str">
        <f>+[2]ConsolidaciónA!F5</f>
        <v>Panamericana</v>
      </c>
      <c r="I6" s="17"/>
      <c r="J6" s="17" t="str">
        <f>+[2]ConsolidaciónA!G5</f>
        <v>Panamericana</v>
      </c>
      <c r="K6" s="17" t="str">
        <f>+[2]ConsolidaciónA!H5</f>
        <v>Panafinanzas,</v>
      </c>
      <c r="L6" s="17" t="str">
        <f>+[2]ConsolidaciónA!I5</f>
        <v xml:space="preserve">Panafactoring, </v>
      </c>
      <c r="M6" s="17" t="str">
        <f>+[2]ConsolidaciónA!J5</f>
        <v>Panabank</v>
      </c>
      <c r="N6" s="17" t="str">
        <f>+[2]ConsolidaciónA!K5</f>
        <v>Hampton</v>
      </c>
      <c r="O6" s="17" t="str">
        <f>+[2]ConsolidaciónA!L5</f>
        <v>Ameritrade</v>
      </c>
      <c r="P6" s="17" t="s">
        <v>128</v>
      </c>
    </row>
    <row r="7" spans="1:16">
      <c r="B7" s="17" t="str">
        <f>+[2]ConsolidaciónA!B6</f>
        <v>Consolidado</v>
      </c>
      <c r="C7" s="17" t="s">
        <v>12</v>
      </c>
      <c r="D7" s="17" t="s">
        <v>69</v>
      </c>
      <c r="E7" s="17" t="s">
        <v>3</v>
      </c>
      <c r="F7" s="17" t="s">
        <v>129</v>
      </c>
      <c r="G7" s="18" t="s">
        <v>5</v>
      </c>
      <c r="H7" s="17" t="str">
        <f>+[2]ConsolidaciónA!F6</f>
        <v>de Leasing, S. A.</v>
      </c>
      <c r="I7" s="17" t="s">
        <v>14</v>
      </c>
      <c r="J7" s="17" t="str">
        <f>+[2]ConsolidaciónA!G6</f>
        <v>de Valores, S. A.</v>
      </c>
      <c r="K7" s="17" t="str">
        <f>+[2]ConsolidaciónA!H6</f>
        <v>S. A.</v>
      </c>
      <c r="L7" s="17" t="str">
        <f>+[2]ConsolidaciónA!I6</f>
        <v>S. A.</v>
      </c>
      <c r="M7" s="17" t="str">
        <f>+[2]ConsolidaciónA!J6</f>
        <v>Trust Ltd.</v>
      </c>
      <c r="N7" s="17" t="str">
        <f>+[2]ConsolidaciónA!K6</f>
        <v>Funding</v>
      </c>
      <c r="O7" s="17" t="str">
        <f>+[2]ConsolidaciónA!L6</f>
        <v>Finance Corp</v>
      </c>
      <c r="P7" s="17" t="s">
        <v>21</v>
      </c>
    </row>
    <row r="8" spans="1:16">
      <c r="G8" s="19"/>
    </row>
    <row r="9" spans="1:16">
      <c r="A9" s="12" t="s">
        <v>130</v>
      </c>
      <c r="B9" s="20">
        <f t="shared" ref="B9:B18" si="0">SUM(C9:D9)</f>
        <v>-660978</v>
      </c>
      <c r="C9" s="21">
        <v>0</v>
      </c>
      <c r="D9" s="21">
        <f t="shared" ref="D9:D17" si="1">+E9+H9+I9+J9+K9+L9+M9+N9+O9+P9</f>
        <v>-660978</v>
      </c>
      <c r="E9" s="21">
        <v>-660978</v>
      </c>
      <c r="F9" s="21">
        <v>-660978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</row>
    <row r="10" spans="1:16">
      <c r="A10" s="12" t="s">
        <v>131</v>
      </c>
      <c r="B10" s="20">
        <f t="shared" si="0"/>
        <v>16083650</v>
      </c>
      <c r="C10" s="21">
        <v>220382</v>
      </c>
      <c r="D10" s="21">
        <f t="shared" si="1"/>
        <v>15863268</v>
      </c>
      <c r="E10" s="21">
        <v>10824912</v>
      </c>
      <c r="F10" s="21">
        <v>680034</v>
      </c>
      <c r="G10" s="21">
        <v>10144878</v>
      </c>
      <c r="H10" s="21">
        <v>426472</v>
      </c>
      <c r="I10" s="21">
        <v>-4038</v>
      </c>
      <c r="J10" s="21">
        <v>-76972</v>
      </c>
      <c r="K10" s="21">
        <v>1665174</v>
      </c>
      <c r="L10" s="21">
        <v>791094</v>
      </c>
      <c r="M10" s="21">
        <v>1375724</v>
      </c>
      <c r="N10" s="21">
        <v>0</v>
      </c>
      <c r="O10" s="21">
        <v>1506444</v>
      </c>
      <c r="P10" s="21">
        <v>-645542</v>
      </c>
    </row>
    <row r="11" spans="1:16">
      <c r="A11" s="12" t="s">
        <v>131</v>
      </c>
      <c r="B11" s="20">
        <f t="shared" si="0"/>
        <v>121091</v>
      </c>
      <c r="C11" s="21">
        <v>0</v>
      </c>
      <c r="D11" s="21">
        <f t="shared" si="1"/>
        <v>121091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121091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</row>
    <row r="12" spans="1:16">
      <c r="A12" s="12" t="s">
        <v>132</v>
      </c>
      <c r="B12" s="20">
        <f t="shared" si="0"/>
        <v>-111128</v>
      </c>
      <c r="C12" s="21">
        <v>0</v>
      </c>
      <c r="D12" s="21">
        <f>+G12+H12+I12+J12+K12+L12+M12+N12+O12+P12</f>
        <v>-111128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-111128</v>
      </c>
      <c r="N12" s="21">
        <v>0</v>
      </c>
      <c r="O12" s="21">
        <v>0</v>
      </c>
      <c r="P12" s="21">
        <v>0</v>
      </c>
    </row>
    <row r="13" spans="1:16">
      <c r="A13" s="12" t="s">
        <v>133</v>
      </c>
      <c r="B13" s="20">
        <f t="shared" si="0"/>
        <v>-132834</v>
      </c>
      <c r="C13" s="21">
        <v>0</v>
      </c>
      <c r="D13" s="21">
        <f>+G13+H13+I13+J13+K13+L13+M13+N13+O13+P13</f>
        <v>-132834</v>
      </c>
      <c r="E13" s="21">
        <v>-36999</v>
      </c>
      <c r="F13" s="21">
        <v>0</v>
      </c>
      <c r="G13" s="21">
        <v>-36999</v>
      </c>
      <c r="H13" s="21">
        <v>10852</v>
      </c>
      <c r="I13" s="21">
        <v>-24554</v>
      </c>
      <c r="J13" s="21">
        <v>0</v>
      </c>
      <c r="K13" s="21">
        <v>-66975</v>
      </c>
      <c r="L13" s="21">
        <v>-4644</v>
      </c>
      <c r="M13" s="21">
        <v>0</v>
      </c>
      <c r="N13" s="21">
        <v>0</v>
      </c>
      <c r="O13" s="21">
        <v>0</v>
      </c>
      <c r="P13" s="21">
        <v>-10514</v>
      </c>
    </row>
    <row r="14" spans="1:16">
      <c r="A14" s="12" t="s">
        <v>134</v>
      </c>
      <c r="B14" s="20">
        <f t="shared" si="0"/>
        <v>-680034</v>
      </c>
      <c r="C14" s="21">
        <v>0</v>
      </c>
      <c r="D14" s="21">
        <f t="shared" si="1"/>
        <v>-680034</v>
      </c>
      <c r="E14" s="21">
        <v>-680034</v>
      </c>
      <c r="F14" s="21">
        <v>-680034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</row>
    <row r="15" spans="1:16">
      <c r="A15" s="12" t="s">
        <v>135</v>
      </c>
      <c r="B15" s="20">
        <f t="shared" si="0"/>
        <v>-340875</v>
      </c>
      <c r="C15" s="21">
        <v>0</v>
      </c>
      <c r="D15" s="21">
        <f t="shared" si="1"/>
        <v>-340875</v>
      </c>
      <c r="E15" s="21">
        <v>-340875</v>
      </c>
      <c r="F15" s="21">
        <v>0</v>
      </c>
      <c r="G15" s="21">
        <v>-340875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</row>
    <row r="16" spans="1:16">
      <c r="A16" s="12" t="s">
        <v>136</v>
      </c>
      <c r="B16" s="20">
        <f t="shared" si="0"/>
        <v>-1522388</v>
      </c>
      <c r="C16" s="21">
        <v>0</v>
      </c>
      <c r="D16" s="21">
        <f t="shared" si="1"/>
        <v>-1522388</v>
      </c>
      <c r="E16" s="21">
        <v>-1522388</v>
      </c>
      <c r="F16" s="21">
        <v>0</v>
      </c>
      <c r="G16" s="21">
        <v>-1522388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</row>
    <row r="17" spans="1:16">
      <c r="A17" s="12" t="s">
        <v>137</v>
      </c>
      <c r="B17" s="20">
        <f t="shared" si="0"/>
        <v>-54148</v>
      </c>
      <c r="C17" s="21">
        <v>0</v>
      </c>
      <c r="D17" s="21">
        <f t="shared" si="1"/>
        <v>-54148</v>
      </c>
      <c r="E17" s="21">
        <v>-14243</v>
      </c>
      <c r="F17" s="21">
        <v>0</v>
      </c>
      <c r="G17" s="21">
        <v>-14243</v>
      </c>
      <c r="H17" s="21">
        <v>-199</v>
      </c>
      <c r="I17" s="21">
        <v>-556</v>
      </c>
      <c r="J17" s="21">
        <v>0</v>
      </c>
      <c r="K17" s="21">
        <v>-31701</v>
      </c>
      <c r="L17" s="21">
        <v>-3962</v>
      </c>
      <c r="M17" s="21">
        <v>0</v>
      </c>
      <c r="N17" s="21">
        <v>0</v>
      </c>
      <c r="O17" s="21">
        <v>0</v>
      </c>
      <c r="P17" s="21">
        <v>-3487</v>
      </c>
    </row>
    <row r="18" spans="1:16">
      <c r="A18" s="22" t="s">
        <v>138</v>
      </c>
      <c r="B18" s="20">
        <f t="shared" si="0"/>
        <v>7224546</v>
      </c>
      <c r="C18" s="21">
        <v>82829</v>
      </c>
      <c r="D18" s="21">
        <f>+E18+H18+I18+J18+K18+L18+M18+N18+O18+P18</f>
        <v>7141717</v>
      </c>
      <c r="E18" s="21">
        <v>5473555</v>
      </c>
      <c r="F18" s="21" t="e">
        <v>#REF!</v>
      </c>
      <c r="G18" s="21" t="e">
        <v>#REF!</v>
      </c>
      <c r="H18" s="21">
        <v>159301</v>
      </c>
      <c r="I18" s="21">
        <v>21863</v>
      </c>
      <c r="J18" s="21">
        <v>17381</v>
      </c>
      <c r="K18" s="21">
        <v>671310</v>
      </c>
      <c r="L18" s="21">
        <v>206593</v>
      </c>
      <c r="M18" s="21">
        <v>461886</v>
      </c>
      <c r="N18" s="21">
        <v>0</v>
      </c>
      <c r="O18" s="21">
        <v>85332</v>
      </c>
      <c r="P18" s="21">
        <v>44496</v>
      </c>
    </row>
    <row r="19" spans="1:16" ht="13.5" thickBot="1">
      <c r="A19" s="22" t="s">
        <v>139</v>
      </c>
      <c r="B19" s="23">
        <f t="shared" ref="B19:P19" si="2">SUM(B9:B18)</f>
        <v>19926902</v>
      </c>
      <c r="C19" s="24">
        <f t="shared" si="2"/>
        <v>303211</v>
      </c>
      <c r="D19" s="24">
        <f t="shared" si="2"/>
        <v>19623691</v>
      </c>
      <c r="E19" s="24">
        <f t="shared" si="2"/>
        <v>13042950</v>
      </c>
      <c r="F19" s="24" t="e">
        <f t="shared" si="2"/>
        <v>#REF!</v>
      </c>
      <c r="G19" s="24" t="e">
        <f t="shared" si="2"/>
        <v>#REF!</v>
      </c>
      <c r="H19" s="24">
        <f t="shared" si="2"/>
        <v>596426</v>
      </c>
      <c r="I19" s="24">
        <f t="shared" si="2"/>
        <v>-7285</v>
      </c>
      <c r="J19" s="24">
        <f t="shared" si="2"/>
        <v>-59591</v>
      </c>
      <c r="K19" s="24">
        <f t="shared" si="2"/>
        <v>2358899</v>
      </c>
      <c r="L19" s="24">
        <f t="shared" si="2"/>
        <v>989081</v>
      </c>
      <c r="M19" s="24">
        <f t="shared" si="2"/>
        <v>1726482</v>
      </c>
      <c r="N19" s="24">
        <f t="shared" si="2"/>
        <v>0</v>
      </c>
      <c r="O19" s="24">
        <f t="shared" si="2"/>
        <v>1591776</v>
      </c>
      <c r="P19" s="24">
        <f t="shared" si="2"/>
        <v>-615047</v>
      </c>
    </row>
    <row r="20" spans="1:16" ht="13.5" thickTop="1"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</row>
    <row r="21" spans="1:16">
      <c r="B21" s="27"/>
      <c r="C21" s="26"/>
    </row>
    <row r="22" spans="1:16">
      <c r="B22" s="27"/>
      <c r="C22" s="26"/>
    </row>
    <row r="23" spans="1:16">
      <c r="B23" s="27"/>
      <c r="C23" s="26"/>
    </row>
    <row r="24" spans="1:16">
      <c r="B24" s="27"/>
      <c r="C24" s="27"/>
    </row>
    <row r="25" spans="1:16">
      <c r="B25" s="27"/>
      <c r="C25" s="27"/>
      <c r="D25" s="25"/>
      <c r="F25" s="25"/>
    </row>
    <row r="56" spans="2:2">
      <c r="B56" s="28"/>
    </row>
    <row r="57" spans="2:2">
      <c r="B57" s="28"/>
    </row>
    <row r="58" spans="2:2">
      <c r="B58" s="28"/>
    </row>
    <row r="59" spans="2:2">
      <c r="B59" s="28"/>
    </row>
    <row r="60" spans="2:2">
      <c r="B60" s="28"/>
    </row>
    <row r="61" spans="2:2">
      <c r="B61" s="28"/>
    </row>
    <row r="62" spans="2:2">
      <c r="B62" s="29"/>
    </row>
  </sheetData>
  <phoneticPr fontId="0" type="noConversion"/>
  <printOptions horizontalCentered="1"/>
  <pageMargins left="0.59055118110236227" right="0.59055118110236227" top="0.98425196850393704" bottom="0.98425196850393704" header="0" footer="0"/>
  <pageSetup scale="48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showGridLines="0" topLeftCell="A29" zoomScaleNormal="100" zoomScaleSheetLayoutView="90" workbookViewId="0">
      <selection activeCell="G55" sqref="G55"/>
    </sheetView>
  </sheetViews>
  <sheetFormatPr defaultColWidth="10.42578125" defaultRowHeight="12.75"/>
  <cols>
    <col min="1" max="1" width="1.140625" style="150" customWidth="1"/>
    <col min="2" max="2" width="2" style="150" customWidth="1"/>
    <col min="3" max="3" width="1.85546875" style="150" customWidth="1"/>
    <col min="4" max="4" width="4.42578125" style="150" customWidth="1"/>
    <col min="5" max="5" width="3.42578125" style="150" customWidth="1"/>
    <col min="6" max="6" width="43.7109375" style="150" customWidth="1"/>
    <col min="7" max="7" width="7.42578125" style="151" customWidth="1"/>
    <col min="8" max="8" width="6" style="151" customWidth="1"/>
    <col min="9" max="9" width="11.42578125" style="150" customWidth="1"/>
    <col min="10" max="10" width="4.85546875" style="150" customWidth="1"/>
    <col min="11" max="11" width="11.42578125" style="150" customWidth="1"/>
    <col min="12" max="12" width="5.140625" style="150" customWidth="1"/>
    <col min="13" max="13" width="11.140625" style="152" bestFit="1" customWidth="1"/>
    <col min="14" max="16384" width="10.42578125" style="150"/>
  </cols>
  <sheetData>
    <row r="1" spans="1:13">
      <c r="A1" s="302" t="s">
        <v>327</v>
      </c>
      <c r="B1" s="149"/>
      <c r="C1" s="149"/>
      <c r="D1" s="149"/>
      <c r="E1" s="149"/>
      <c r="F1" s="149"/>
      <c r="G1" s="183"/>
      <c r="H1" s="149"/>
      <c r="I1" s="149"/>
      <c r="J1" s="149"/>
      <c r="K1" s="149"/>
    </row>
    <row r="2" spans="1:13" s="165" customFormat="1">
      <c r="A2" s="303" t="s">
        <v>328</v>
      </c>
      <c r="B2" s="149"/>
      <c r="C2" s="149"/>
      <c r="D2" s="149"/>
      <c r="E2" s="149"/>
      <c r="F2" s="149"/>
      <c r="G2" s="183"/>
      <c r="H2" s="149"/>
      <c r="I2" s="149"/>
      <c r="J2" s="149"/>
      <c r="K2" s="149"/>
      <c r="M2" s="184"/>
    </row>
    <row r="3" spans="1:13">
      <c r="A3" s="153" t="s">
        <v>296</v>
      </c>
      <c r="B3" s="153"/>
      <c r="C3" s="153"/>
      <c r="D3" s="153"/>
      <c r="E3" s="153"/>
      <c r="F3" s="153"/>
      <c r="H3" s="153"/>
      <c r="I3" s="153"/>
      <c r="J3" s="153"/>
      <c r="K3" s="153"/>
    </row>
    <row r="4" spans="1:13" ht="12" customHeight="1">
      <c r="A4" s="188"/>
      <c r="B4" s="189"/>
      <c r="C4" s="189"/>
      <c r="D4" s="189"/>
      <c r="E4" s="189"/>
      <c r="F4" s="189"/>
      <c r="I4" s="189"/>
      <c r="J4" s="189"/>
      <c r="K4" s="189"/>
    </row>
    <row r="5" spans="1:13">
      <c r="A5" s="149" t="s">
        <v>316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</row>
    <row r="6" spans="1:13" ht="12" customHeight="1">
      <c r="A6" s="188"/>
      <c r="B6" s="189"/>
      <c r="C6" s="189"/>
      <c r="D6" s="189"/>
      <c r="E6" s="189"/>
      <c r="F6" s="189"/>
      <c r="I6" s="189"/>
      <c r="J6" s="189"/>
      <c r="K6" s="189"/>
    </row>
    <row r="7" spans="1:13">
      <c r="A7" s="153" t="s">
        <v>337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</row>
    <row r="8" spans="1:13" ht="11.25" customHeight="1">
      <c r="A8" s="154"/>
      <c r="B8" s="154"/>
      <c r="C8" s="154"/>
      <c r="D8" s="154"/>
      <c r="E8" s="154"/>
      <c r="F8" s="154"/>
      <c r="G8" s="174"/>
      <c r="H8" s="174"/>
      <c r="I8" s="174"/>
      <c r="J8" s="173"/>
      <c r="K8" s="174"/>
      <c r="L8" s="173"/>
    </row>
    <row r="9" spans="1:13">
      <c r="A9" s="153" t="s">
        <v>213</v>
      </c>
      <c r="B9" s="153"/>
      <c r="C9" s="153"/>
      <c r="D9" s="153"/>
      <c r="E9" s="153"/>
      <c r="F9" s="153"/>
      <c r="G9" s="153"/>
      <c r="H9" s="153"/>
      <c r="I9" s="151"/>
      <c r="J9" s="151"/>
      <c r="K9" s="151"/>
    </row>
    <row r="10" spans="1:13" ht="12" customHeight="1" thickBot="1">
      <c r="A10" s="154"/>
    </row>
    <row r="11" spans="1:13" ht="12" customHeight="1" thickTop="1">
      <c r="A11" s="190"/>
      <c r="B11" s="155"/>
      <c r="C11" s="155"/>
      <c r="D11" s="155"/>
      <c r="E11" s="155"/>
      <c r="F11" s="155"/>
      <c r="G11" s="156"/>
      <c r="H11" s="156"/>
      <c r="I11" s="155"/>
      <c r="J11" s="155"/>
      <c r="K11" s="155"/>
    </row>
    <row r="12" spans="1:13">
      <c r="A12" s="191"/>
      <c r="B12" s="173"/>
      <c r="C12" s="173"/>
      <c r="D12" s="173"/>
      <c r="E12" s="173"/>
      <c r="F12" s="173"/>
      <c r="G12" s="159" t="s">
        <v>143</v>
      </c>
      <c r="H12" s="174"/>
      <c r="I12" s="159">
        <v>2017</v>
      </c>
      <c r="J12" s="173"/>
      <c r="K12" s="159">
        <v>2016</v>
      </c>
    </row>
    <row r="13" spans="1:13">
      <c r="A13" s="173"/>
      <c r="B13" s="173"/>
      <c r="C13" s="173"/>
      <c r="D13" s="173"/>
      <c r="E13" s="173"/>
      <c r="F13" s="173"/>
      <c r="G13" s="174"/>
      <c r="H13" s="174"/>
      <c r="J13" s="173"/>
    </row>
    <row r="14" spans="1:13" ht="13.7" customHeight="1">
      <c r="A14" s="178" t="s">
        <v>208</v>
      </c>
      <c r="B14" s="173"/>
      <c r="C14" s="173"/>
      <c r="D14" s="173"/>
      <c r="E14" s="173"/>
      <c r="F14" s="173"/>
      <c r="G14" s="174"/>
      <c r="I14" s="192">
        <f>SUM(I15:I22)</f>
        <v>164248.1</v>
      </c>
      <c r="J14" s="193"/>
      <c r="K14" s="192">
        <f>SUM(K15:K22)</f>
        <v>164615.80000000002</v>
      </c>
    </row>
    <row r="15" spans="1:13" ht="14.25" customHeight="1">
      <c r="B15" s="178" t="s">
        <v>196</v>
      </c>
      <c r="D15" s="176"/>
      <c r="E15" s="176"/>
      <c r="F15" s="176"/>
      <c r="G15" s="194"/>
      <c r="H15" s="194"/>
      <c r="I15" s="195">
        <v>131887.5</v>
      </c>
      <c r="J15" s="193"/>
      <c r="K15" s="195">
        <v>123533.1</v>
      </c>
    </row>
    <row r="16" spans="1:13">
      <c r="B16" s="178" t="s">
        <v>195</v>
      </c>
      <c r="D16" s="176"/>
      <c r="E16" s="176"/>
      <c r="F16" s="176"/>
      <c r="G16" s="194"/>
      <c r="H16" s="194"/>
      <c r="I16" s="195">
        <v>17584.599999999999</v>
      </c>
      <c r="J16" s="193"/>
      <c r="K16" s="195">
        <v>23251.1</v>
      </c>
    </row>
    <row r="17" spans="1:13">
      <c r="B17" s="178" t="s">
        <v>194</v>
      </c>
      <c r="D17" s="176"/>
      <c r="E17" s="176"/>
      <c r="F17" s="176"/>
      <c r="G17" s="194"/>
      <c r="H17" s="194"/>
      <c r="I17" s="195">
        <v>2606.3000000000002</v>
      </c>
      <c r="J17" s="176"/>
      <c r="K17" s="195">
        <v>5073.1000000000004</v>
      </c>
    </row>
    <row r="18" spans="1:13">
      <c r="B18" s="178" t="s">
        <v>193</v>
      </c>
      <c r="D18" s="176"/>
      <c r="E18" s="176"/>
      <c r="F18" s="176"/>
      <c r="G18" s="194"/>
      <c r="H18" s="194"/>
      <c r="I18" s="195">
        <v>0</v>
      </c>
      <c r="J18" s="193"/>
      <c r="K18" s="195">
        <v>123.1</v>
      </c>
    </row>
    <row r="19" spans="1:13">
      <c r="B19" s="178" t="s">
        <v>277</v>
      </c>
      <c r="D19" s="176"/>
      <c r="E19" s="176"/>
      <c r="F19" s="176"/>
      <c r="G19" s="194"/>
      <c r="H19" s="194"/>
      <c r="I19" s="195">
        <v>83.4</v>
      </c>
      <c r="J19" s="193"/>
      <c r="K19" s="195">
        <v>293.5</v>
      </c>
    </row>
    <row r="20" spans="1:13">
      <c r="B20" s="178" t="s">
        <v>190</v>
      </c>
      <c r="D20" s="176"/>
      <c r="E20" s="176"/>
      <c r="F20" s="176"/>
      <c r="G20" s="194"/>
      <c r="H20" s="194"/>
      <c r="I20" s="195">
        <v>1737.2</v>
      </c>
      <c r="J20" s="193"/>
      <c r="K20" s="195">
        <v>717.3</v>
      </c>
    </row>
    <row r="21" spans="1:13" s="165" customFormat="1">
      <c r="B21" s="178" t="s">
        <v>191</v>
      </c>
      <c r="D21" s="196"/>
      <c r="E21" s="196"/>
      <c r="F21" s="196"/>
      <c r="G21" s="194"/>
      <c r="H21" s="194"/>
      <c r="I21" s="195">
        <v>1098.2</v>
      </c>
      <c r="J21" s="193"/>
      <c r="K21" s="195">
        <v>1288.4000000000001</v>
      </c>
      <c r="M21" s="184"/>
    </row>
    <row r="22" spans="1:13">
      <c r="B22" s="178" t="s">
        <v>192</v>
      </c>
      <c r="D22" s="176"/>
      <c r="E22" s="176"/>
      <c r="F22" s="176"/>
      <c r="G22" s="194">
        <v>44</v>
      </c>
      <c r="H22" s="194"/>
      <c r="I22" s="192">
        <v>9250.9</v>
      </c>
      <c r="J22" s="176"/>
      <c r="K22" s="192">
        <v>10336.200000000001</v>
      </c>
    </row>
    <row r="23" spans="1:13">
      <c r="A23" s="178"/>
      <c r="B23" s="176"/>
      <c r="C23" s="176"/>
      <c r="D23" s="176"/>
      <c r="E23" s="176"/>
      <c r="F23" s="176"/>
      <c r="G23" s="194"/>
      <c r="H23" s="194"/>
      <c r="I23" s="195"/>
      <c r="J23" s="193"/>
      <c r="K23" s="195"/>
    </row>
    <row r="24" spans="1:13">
      <c r="A24" s="178" t="s">
        <v>209</v>
      </c>
      <c r="B24" s="176"/>
      <c r="C24" s="176"/>
      <c r="D24" s="176"/>
      <c r="E24" s="176"/>
      <c r="F24" s="176"/>
      <c r="G24" s="194"/>
      <c r="H24" s="194"/>
      <c r="I24" s="192">
        <f>SUM(I25:I30)</f>
        <v>46813.9</v>
      </c>
      <c r="J24" s="193"/>
      <c r="K24" s="192">
        <f>SUM(K25:K30)</f>
        <v>50060.2</v>
      </c>
    </row>
    <row r="25" spans="1:13" ht="15" customHeight="1">
      <c r="B25" s="197" t="s">
        <v>197</v>
      </c>
      <c r="C25" s="176"/>
      <c r="D25" s="176"/>
      <c r="E25" s="176"/>
      <c r="F25" s="176"/>
      <c r="G25" s="194"/>
      <c r="H25" s="194"/>
      <c r="I25" s="195">
        <v>13206.3</v>
      </c>
      <c r="J25" s="193"/>
      <c r="K25" s="195">
        <v>11955.6</v>
      </c>
    </row>
    <row r="26" spans="1:13">
      <c r="B26" s="197" t="s">
        <v>198</v>
      </c>
      <c r="C26" s="176"/>
      <c r="D26" s="176"/>
      <c r="E26" s="176"/>
      <c r="F26" s="176"/>
      <c r="G26" s="194"/>
      <c r="H26" s="194"/>
      <c r="I26" s="195">
        <v>9113.6</v>
      </c>
      <c r="J26" s="176"/>
      <c r="K26" s="195">
        <v>2565.9</v>
      </c>
    </row>
    <row r="27" spans="1:13">
      <c r="B27" s="197" t="s">
        <v>199</v>
      </c>
      <c r="C27" s="196"/>
      <c r="D27" s="176"/>
      <c r="E27" s="176"/>
      <c r="F27" s="176"/>
      <c r="G27" s="194"/>
      <c r="H27" s="194"/>
      <c r="I27" s="195">
        <v>497.2</v>
      </c>
      <c r="J27" s="193"/>
      <c r="K27" s="195">
        <v>0</v>
      </c>
    </row>
    <row r="28" spans="1:13">
      <c r="B28" s="197" t="s">
        <v>200</v>
      </c>
      <c r="C28" s="176"/>
      <c r="D28" s="176"/>
      <c r="E28" s="176"/>
      <c r="F28" s="176"/>
      <c r="G28" s="194"/>
      <c r="H28" s="194"/>
      <c r="I28" s="195">
        <v>0</v>
      </c>
      <c r="J28" s="193"/>
      <c r="K28" s="195">
        <v>2587.6999999999998</v>
      </c>
    </row>
    <row r="29" spans="1:13">
      <c r="B29" s="178" t="s">
        <v>191</v>
      </c>
      <c r="C29" s="176"/>
      <c r="D29" s="176"/>
      <c r="E29" s="176"/>
      <c r="F29" s="176"/>
      <c r="G29" s="194"/>
      <c r="H29" s="194"/>
      <c r="I29" s="195">
        <v>1.7</v>
      </c>
      <c r="J29" s="193"/>
      <c r="K29" s="195">
        <v>1.1000000000000001</v>
      </c>
    </row>
    <row r="30" spans="1:13">
      <c r="B30" s="197" t="s">
        <v>192</v>
      </c>
      <c r="C30" s="176"/>
      <c r="D30" s="196"/>
      <c r="E30" s="176"/>
      <c r="F30" s="176"/>
      <c r="G30" s="194"/>
      <c r="H30" s="194"/>
      <c r="I30" s="192">
        <v>23995.1</v>
      </c>
      <c r="J30" s="193"/>
      <c r="K30" s="192">
        <v>32949.9</v>
      </c>
    </row>
    <row r="31" spans="1:13" ht="11.25" customHeight="1">
      <c r="A31" s="178"/>
      <c r="B31" s="176"/>
      <c r="C31" s="176"/>
      <c r="D31" s="196"/>
      <c r="E31" s="176"/>
      <c r="F31" s="176"/>
      <c r="G31" s="194"/>
      <c r="H31" s="194"/>
      <c r="I31" s="198"/>
      <c r="J31" s="176"/>
      <c r="K31" s="198"/>
    </row>
    <row r="32" spans="1:13">
      <c r="A32" s="178" t="s">
        <v>206</v>
      </c>
      <c r="B32" s="196"/>
      <c r="C32" s="196"/>
      <c r="D32" s="196"/>
      <c r="E32" s="196"/>
      <c r="F32" s="196"/>
      <c r="G32" s="194"/>
      <c r="H32" s="194"/>
      <c r="I32" s="199">
        <v>48796.5</v>
      </c>
      <c r="J32" s="193"/>
      <c r="K32" s="199">
        <v>50458.7</v>
      </c>
    </row>
    <row r="33" spans="1:13" ht="11.25" customHeight="1">
      <c r="A33" s="178"/>
      <c r="B33" s="176"/>
      <c r="C33" s="176"/>
      <c r="D33" s="196"/>
      <c r="E33" s="176"/>
      <c r="F33" s="176"/>
      <c r="G33" s="194"/>
      <c r="H33" s="194"/>
      <c r="I33" s="198"/>
      <c r="J33" s="176"/>
      <c r="K33" s="198"/>
    </row>
    <row r="34" spans="1:13">
      <c r="A34" s="200" t="s">
        <v>211</v>
      </c>
      <c r="B34" s="201"/>
      <c r="C34" s="176"/>
      <c r="D34" s="176"/>
      <c r="E34" s="176"/>
      <c r="F34" s="176"/>
      <c r="G34" s="194"/>
      <c r="H34" s="194"/>
      <c r="I34" s="192">
        <f>I14-I24-I32</f>
        <v>68637.700000000012</v>
      </c>
      <c r="J34" s="193"/>
      <c r="K34" s="192">
        <f>K14-K24-K32</f>
        <v>64096.900000000023</v>
      </c>
      <c r="M34" s="202"/>
    </row>
    <row r="35" spans="1:13">
      <c r="A35" s="178"/>
      <c r="B35" s="196"/>
      <c r="C35" s="196"/>
      <c r="D35" s="196"/>
      <c r="E35" s="196"/>
      <c r="F35" s="196"/>
      <c r="G35" s="194"/>
      <c r="H35" s="194"/>
      <c r="I35" s="203"/>
      <c r="J35" s="193"/>
      <c r="K35" s="203"/>
    </row>
    <row r="36" spans="1:13">
      <c r="A36" s="178" t="s">
        <v>212</v>
      </c>
      <c r="B36" s="176"/>
      <c r="C36" s="176"/>
      <c r="D36" s="176"/>
      <c r="E36" s="176"/>
      <c r="F36" s="176"/>
      <c r="G36" s="194">
        <v>27</v>
      </c>
      <c r="H36" s="194"/>
      <c r="I36" s="204">
        <f>SUM(I37:I39)</f>
        <v>73238.599999999991</v>
      </c>
      <c r="J36" s="176"/>
      <c r="K36" s="204">
        <f>SUM(K37:K39)</f>
        <v>83092.5</v>
      </c>
    </row>
    <row r="37" spans="1:13">
      <c r="B37" s="197" t="s">
        <v>201</v>
      </c>
      <c r="C37" s="176"/>
      <c r="D37" s="176"/>
      <c r="E37" s="176"/>
      <c r="F37" s="176"/>
      <c r="G37" s="194"/>
      <c r="H37" s="194"/>
      <c r="I37" s="198">
        <v>39428.699999999997</v>
      </c>
      <c r="J37" s="176"/>
      <c r="K37" s="198">
        <v>41582.199999999997</v>
      </c>
    </row>
    <row r="38" spans="1:13">
      <c r="B38" s="197" t="s">
        <v>202</v>
      </c>
      <c r="C38" s="171"/>
      <c r="D38" s="171"/>
      <c r="E38" s="171"/>
      <c r="F38" s="171"/>
      <c r="G38" s="205"/>
      <c r="H38" s="206"/>
      <c r="I38" s="198">
        <v>29893.1</v>
      </c>
      <c r="J38" s="206"/>
      <c r="K38" s="198">
        <v>38257.9</v>
      </c>
      <c r="L38" s="206"/>
    </row>
    <row r="39" spans="1:13">
      <c r="B39" s="197" t="s">
        <v>203</v>
      </c>
      <c r="C39" s="171"/>
      <c r="D39" s="171"/>
      <c r="E39" s="171"/>
      <c r="F39" s="171"/>
      <c r="G39" s="205"/>
      <c r="H39" s="206"/>
      <c r="I39" s="204">
        <v>3916.8</v>
      </c>
      <c r="J39" s="206"/>
      <c r="K39" s="204">
        <v>3252.4</v>
      </c>
      <c r="L39" s="206"/>
    </row>
    <row r="40" spans="1:13" ht="12.75" customHeight="1">
      <c r="A40" s="207"/>
      <c r="B40" s="171"/>
      <c r="C40" s="171"/>
      <c r="D40" s="171"/>
      <c r="E40" s="208"/>
      <c r="F40" s="171"/>
      <c r="G40" s="205"/>
      <c r="H40" s="206"/>
      <c r="I40" s="209"/>
      <c r="J40" s="206"/>
      <c r="K40" s="209"/>
      <c r="L40" s="206"/>
    </row>
    <row r="41" spans="1:13">
      <c r="A41" s="210" t="s">
        <v>322</v>
      </c>
      <c r="B41" s="171"/>
      <c r="C41" s="171"/>
      <c r="D41" s="171"/>
      <c r="E41" s="208"/>
      <c r="F41" s="171"/>
      <c r="G41" s="205"/>
      <c r="H41" s="206"/>
      <c r="I41" s="211">
        <f>I34-I36</f>
        <v>-4600.8999999999796</v>
      </c>
      <c r="J41" s="206"/>
      <c r="K41" s="211">
        <f>K34-K36</f>
        <v>-18995.599999999977</v>
      </c>
      <c r="L41" s="206"/>
    </row>
    <row r="42" spans="1:13" ht="10.5" customHeight="1">
      <c r="A42" s="197"/>
      <c r="B42" s="171"/>
      <c r="C42" s="171"/>
      <c r="D42" s="171"/>
      <c r="E42" s="208"/>
      <c r="F42" s="171"/>
      <c r="G42" s="205"/>
      <c r="H42" s="206"/>
      <c r="I42" s="209"/>
      <c r="J42" s="206"/>
      <c r="K42" s="209"/>
      <c r="L42" s="206"/>
    </row>
    <row r="43" spans="1:13">
      <c r="A43" s="197" t="s">
        <v>210</v>
      </c>
      <c r="B43" s="171"/>
      <c r="C43" s="171"/>
      <c r="D43" s="171"/>
      <c r="E43" s="208"/>
      <c r="F43" s="171"/>
      <c r="G43" s="205"/>
      <c r="H43" s="206"/>
      <c r="I43" s="211">
        <v>163.4</v>
      </c>
      <c r="J43" s="206"/>
      <c r="K43" s="211">
        <v>810.5</v>
      </c>
      <c r="L43" s="206"/>
    </row>
    <row r="44" spans="1:13" ht="11.25" customHeight="1">
      <c r="A44" s="197"/>
      <c r="B44" s="171"/>
      <c r="C44" s="171"/>
      <c r="D44" s="171"/>
      <c r="E44" s="208"/>
      <c r="F44" s="171"/>
      <c r="G44" s="205"/>
      <c r="H44" s="206"/>
      <c r="I44" s="209"/>
      <c r="J44" s="206"/>
      <c r="K44" s="209"/>
      <c r="L44" s="206"/>
    </row>
    <row r="45" spans="1:13">
      <c r="A45" s="178" t="s">
        <v>204</v>
      </c>
      <c r="B45" s="171"/>
      <c r="C45" s="171"/>
      <c r="D45" s="171"/>
      <c r="E45" s="208"/>
      <c r="F45" s="171"/>
      <c r="G45" s="317">
        <v>45</v>
      </c>
      <c r="H45" s="206"/>
      <c r="I45" s="211">
        <f>SUM(I46:I47)</f>
        <v>16402.8</v>
      </c>
      <c r="J45" s="206"/>
      <c r="K45" s="211">
        <f>SUM(K46:K47)</f>
        <v>18699.099999999999</v>
      </c>
      <c r="L45" s="206"/>
    </row>
    <row r="46" spans="1:13">
      <c r="B46" s="197" t="s">
        <v>94</v>
      </c>
      <c r="C46" s="171"/>
      <c r="D46" s="171"/>
      <c r="E46" s="208"/>
      <c r="F46" s="171"/>
      <c r="H46" s="206"/>
      <c r="I46" s="209">
        <v>17481.3</v>
      </c>
      <c r="J46" s="206"/>
      <c r="K46" s="209">
        <v>22808.1</v>
      </c>
      <c r="L46" s="206"/>
    </row>
    <row r="47" spans="1:13">
      <c r="B47" s="197" t="s">
        <v>205</v>
      </c>
      <c r="C47" s="171"/>
      <c r="D47" s="171"/>
      <c r="E47" s="208"/>
      <c r="F47" s="171"/>
      <c r="G47" s="212"/>
      <c r="H47" s="206"/>
      <c r="I47" s="211">
        <v>-1078.5</v>
      </c>
      <c r="J47" s="206"/>
      <c r="K47" s="211">
        <v>-4109</v>
      </c>
      <c r="L47" s="206"/>
    </row>
    <row r="48" spans="1:13" ht="12" customHeight="1">
      <c r="B48" s="197"/>
      <c r="C48" s="171"/>
      <c r="D48" s="171"/>
      <c r="E48" s="208"/>
      <c r="F48" s="171"/>
      <c r="G48" s="205"/>
      <c r="H48" s="206"/>
      <c r="I48" s="209"/>
      <c r="J48" s="206"/>
      <c r="K48" s="209"/>
      <c r="L48" s="206"/>
    </row>
    <row r="49" spans="1:13">
      <c r="A49" s="165" t="s">
        <v>323</v>
      </c>
      <c r="B49" s="197"/>
      <c r="C49" s="171"/>
      <c r="D49" s="171"/>
      <c r="E49" s="208"/>
      <c r="F49" s="171"/>
      <c r="G49" s="205"/>
      <c r="H49" s="206"/>
      <c r="I49" s="209">
        <f>I41+I43+I45</f>
        <v>11965.300000000019</v>
      </c>
      <c r="J49" s="209"/>
      <c r="K49" s="209">
        <f>K41+K43+K45</f>
        <v>514.00000000002183</v>
      </c>
      <c r="L49" s="206"/>
    </row>
    <row r="50" spans="1:13" ht="12.75" customHeight="1">
      <c r="A50" s="197"/>
      <c r="B50" s="171"/>
      <c r="C50" s="171"/>
      <c r="D50" s="171"/>
      <c r="E50" s="208"/>
      <c r="F50" s="171"/>
      <c r="G50" s="205"/>
      <c r="H50" s="206"/>
      <c r="I50" s="209"/>
      <c r="J50" s="209"/>
      <c r="K50" s="209"/>
      <c r="L50" s="206"/>
    </row>
    <row r="51" spans="1:13">
      <c r="A51" s="178" t="s">
        <v>207</v>
      </c>
      <c r="B51" s="171"/>
      <c r="C51" s="171"/>
      <c r="D51" s="171"/>
      <c r="E51" s="208"/>
      <c r="F51" s="171"/>
      <c r="G51" s="317">
        <v>26</v>
      </c>
      <c r="H51" s="206"/>
      <c r="I51" s="209">
        <v>-4314.6000000000004</v>
      </c>
      <c r="J51" s="209"/>
      <c r="K51" s="209">
        <v>-1163</v>
      </c>
      <c r="L51" s="206"/>
    </row>
    <row r="52" spans="1:13">
      <c r="A52" s="178"/>
      <c r="B52" s="171"/>
      <c r="C52" s="171"/>
      <c r="D52" s="171"/>
      <c r="E52" s="208"/>
      <c r="F52" s="171"/>
      <c r="G52" s="212"/>
      <c r="H52" s="206"/>
      <c r="I52" s="209"/>
      <c r="J52" s="206"/>
      <c r="K52" s="209"/>
      <c r="L52" s="206"/>
    </row>
    <row r="53" spans="1:13">
      <c r="A53" s="178" t="s">
        <v>315</v>
      </c>
      <c r="B53" s="171"/>
      <c r="C53" s="171"/>
      <c r="D53" s="171"/>
      <c r="E53" s="208"/>
      <c r="F53" s="171"/>
      <c r="G53" s="212"/>
      <c r="H53" s="206"/>
      <c r="I53" s="211">
        <v>-537.29999999999995</v>
      </c>
      <c r="J53" s="206"/>
      <c r="K53" s="211">
        <v>-57.2</v>
      </c>
      <c r="L53" s="206"/>
    </row>
    <row r="54" spans="1:13" ht="11.25" customHeight="1">
      <c r="A54" s="178"/>
      <c r="B54" s="171"/>
      <c r="C54" s="171"/>
      <c r="D54" s="171"/>
      <c r="E54" s="208"/>
      <c r="F54" s="171"/>
      <c r="G54" s="205"/>
      <c r="H54" s="206"/>
      <c r="I54" s="209"/>
      <c r="J54" s="206"/>
      <c r="K54" s="209"/>
      <c r="L54" s="206"/>
    </row>
    <row r="55" spans="1:13" ht="13.5" thickBot="1">
      <c r="A55" s="182" t="s">
        <v>345</v>
      </c>
      <c r="B55" s="171"/>
      <c r="C55" s="171"/>
      <c r="D55" s="171"/>
      <c r="E55" s="208"/>
      <c r="F55" s="171"/>
      <c r="G55" s="317">
        <v>25</v>
      </c>
      <c r="I55" s="213">
        <f>SUM(I49:I53)</f>
        <v>7113.4000000000187</v>
      </c>
      <c r="J55" s="206"/>
      <c r="K55" s="213">
        <f>SUM(K49:K53)</f>
        <v>-706.19999999997822</v>
      </c>
      <c r="L55" s="206"/>
    </row>
    <row r="56" spans="1:13" ht="22.35" customHeight="1" thickTop="1">
      <c r="A56" s="182"/>
      <c r="B56" s="171"/>
      <c r="C56" s="171"/>
      <c r="D56" s="171"/>
      <c r="E56" s="208"/>
      <c r="F56" s="171"/>
      <c r="G56" s="205"/>
      <c r="I56" s="209"/>
      <c r="J56" s="206"/>
      <c r="K56" s="209"/>
      <c r="L56" s="206"/>
    </row>
    <row r="57" spans="1:13" s="172" customFormat="1">
      <c r="A57" s="150" t="s">
        <v>334</v>
      </c>
      <c r="B57" s="305"/>
      <c r="C57" s="305"/>
      <c r="D57" s="305"/>
      <c r="E57" s="305"/>
      <c r="F57" s="305"/>
      <c r="G57" s="306"/>
      <c r="H57" s="306"/>
      <c r="I57" s="305"/>
      <c r="J57" s="305"/>
      <c r="K57" s="305"/>
      <c r="M57" s="187"/>
    </row>
    <row r="58" spans="1:13">
      <c r="A58" s="182"/>
      <c r="B58" s="330" t="s">
        <v>332</v>
      </c>
      <c r="C58" s="330"/>
      <c r="D58" s="330"/>
      <c r="E58" s="330"/>
      <c r="F58" s="330"/>
      <c r="G58" s="214"/>
      <c r="H58" s="214"/>
      <c r="I58" s="215"/>
      <c r="J58" s="171"/>
      <c r="K58" s="215"/>
    </row>
    <row r="59" spans="1:13">
      <c r="A59" s="182"/>
      <c r="B59" s="171"/>
      <c r="C59" s="171"/>
      <c r="D59" s="171"/>
      <c r="E59" s="208"/>
      <c r="F59" s="171"/>
      <c r="G59" s="214"/>
      <c r="H59" s="214"/>
      <c r="I59" s="215"/>
      <c r="J59" s="171"/>
      <c r="K59" s="215"/>
    </row>
    <row r="60" spans="1:13" s="172" customFormat="1">
      <c r="A60" s="172" t="s">
        <v>253</v>
      </c>
      <c r="G60" s="185"/>
      <c r="H60" s="185"/>
      <c r="M60" s="187"/>
    </row>
    <row r="61" spans="1:13" s="172" customFormat="1">
      <c r="G61" s="185"/>
      <c r="H61" s="185"/>
      <c r="M61" s="187"/>
    </row>
    <row r="63" spans="1:13" ht="13.5" thickBot="1">
      <c r="A63" s="154"/>
    </row>
    <row r="64" spans="1:13" ht="13.5" thickTop="1">
      <c r="A64" s="190"/>
      <c r="B64" s="155"/>
      <c r="C64" s="155"/>
      <c r="D64" s="155"/>
      <c r="E64" s="155"/>
      <c r="F64" s="155"/>
      <c r="G64" s="156"/>
      <c r="H64" s="156"/>
      <c r="I64" s="155"/>
      <c r="J64" s="155"/>
      <c r="K64" s="155"/>
    </row>
    <row r="65" spans="1:13">
      <c r="A65" s="307" t="s">
        <v>254</v>
      </c>
      <c r="B65" s="305"/>
      <c r="C65" s="305"/>
      <c r="D65" s="305"/>
      <c r="E65" s="305"/>
      <c r="F65" s="305"/>
      <c r="G65" s="305"/>
      <c r="H65" s="306"/>
      <c r="I65" s="306"/>
      <c r="J65" s="308"/>
      <c r="K65" s="306"/>
      <c r="L65" s="308"/>
      <c r="M65" s="309"/>
    </row>
    <row r="66" spans="1:13">
      <c r="A66" s="307"/>
      <c r="B66" s="305"/>
      <c r="C66" s="305"/>
      <c r="D66" s="305"/>
      <c r="E66" s="305"/>
      <c r="F66" s="305"/>
      <c r="G66" s="305"/>
      <c r="H66" s="306"/>
      <c r="I66" s="306"/>
      <c r="J66" s="308"/>
      <c r="K66" s="306"/>
      <c r="L66" s="308"/>
      <c r="M66" s="309"/>
    </row>
    <row r="67" spans="1:13" s="178" customFormat="1">
      <c r="A67" s="310"/>
      <c r="B67" s="311"/>
      <c r="C67" s="311"/>
      <c r="D67" s="311"/>
      <c r="E67" s="311"/>
      <c r="F67" s="311"/>
      <c r="G67" s="311"/>
      <c r="H67" s="312"/>
      <c r="I67" s="313"/>
      <c r="J67" s="314"/>
      <c r="K67" s="313"/>
      <c r="L67" s="311"/>
      <c r="M67" s="309"/>
    </row>
    <row r="68" spans="1:13" s="178" customFormat="1">
      <c r="A68" s="314"/>
      <c r="B68" s="311"/>
      <c r="C68" s="311"/>
      <c r="D68" s="311"/>
      <c r="E68" s="311"/>
      <c r="F68" s="311"/>
      <c r="G68" s="311"/>
      <c r="H68" s="312"/>
      <c r="I68" s="313"/>
      <c r="J68" s="314"/>
      <c r="K68" s="313"/>
      <c r="L68" s="311"/>
      <c r="M68" s="309"/>
    </row>
    <row r="69" spans="1:13" s="178" customFormat="1">
      <c r="A69" s="328" t="s">
        <v>341</v>
      </c>
      <c r="B69" s="328"/>
      <c r="C69" s="328"/>
      <c r="D69" s="328"/>
      <c r="E69" s="328"/>
      <c r="F69" s="328"/>
      <c r="G69" s="328"/>
      <c r="H69" s="328"/>
      <c r="I69" s="328"/>
      <c r="J69" s="328"/>
      <c r="K69" s="328"/>
      <c r="L69" s="328"/>
      <c r="M69" s="307"/>
    </row>
    <row r="70" spans="1:13" s="178" customFormat="1">
      <c r="A70" s="328" t="s">
        <v>342</v>
      </c>
      <c r="B70" s="328"/>
      <c r="C70" s="328"/>
      <c r="D70" s="328"/>
      <c r="E70" s="328"/>
      <c r="F70" s="328"/>
      <c r="G70" s="328"/>
      <c r="H70" s="328"/>
      <c r="I70" s="328"/>
      <c r="J70" s="328"/>
      <c r="K70" s="328"/>
      <c r="L70" s="328"/>
      <c r="M70" s="307"/>
    </row>
    <row r="71" spans="1:13" s="178" customFormat="1">
      <c r="A71" s="328"/>
      <c r="B71" s="328"/>
      <c r="C71" s="328"/>
      <c r="D71" s="328"/>
      <c r="E71" s="328"/>
      <c r="F71" s="328"/>
      <c r="G71" s="328"/>
      <c r="H71" s="328"/>
      <c r="I71" s="328"/>
      <c r="J71" s="328"/>
      <c r="K71" s="328"/>
      <c r="L71" s="328"/>
      <c r="M71" s="307"/>
    </row>
    <row r="72" spans="1:13" s="178" customFormat="1">
      <c r="A72" s="328"/>
      <c r="B72" s="328"/>
      <c r="C72" s="328"/>
      <c r="D72" s="328"/>
      <c r="E72" s="328"/>
      <c r="F72" s="328"/>
      <c r="G72" s="328"/>
      <c r="H72" s="328"/>
      <c r="I72" s="328"/>
      <c r="J72" s="328"/>
      <c r="K72" s="328"/>
      <c r="L72" s="328"/>
      <c r="M72" s="307"/>
    </row>
    <row r="73" spans="1:13" s="178" customFormat="1">
      <c r="A73" s="328"/>
      <c r="B73" s="328"/>
      <c r="C73" s="328"/>
      <c r="D73" s="328"/>
      <c r="E73" s="328"/>
      <c r="F73" s="328"/>
      <c r="G73" s="328"/>
      <c r="H73" s="328"/>
      <c r="I73" s="328"/>
      <c r="J73" s="328"/>
      <c r="K73" s="328"/>
      <c r="L73" s="328"/>
      <c r="M73" s="307"/>
    </row>
    <row r="74" spans="1:13" s="178" customFormat="1">
      <c r="A74" s="328"/>
      <c r="B74" s="328"/>
      <c r="C74" s="328"/>
      <c r="D74" s="328"/>
      <c r="E74" s="328"/>
      <c r="F74" s="328"/>
      <c r="G74" s="328"/>
      <c r="H74" s="328"/>
      <c r="I74" s="328"/>
      <c r="J74" s="328"/>
      <c r="K74" s="328"/>
      <c r="L74" s="328"/>
    </row>
    <row r="75" spans="1:13" s="178" customFormat="1">
      <c r="A75" s="328"/>
      <c r="B75" s="328"/>
      <c r="C75" s="328"/>
      <c r="D75" s="328"/>
      <c r="E75" s="328"/>
      <c r="F75" s="328"/>
      <c r="G75" s="328"/>
      <c r="H75" s="328"/>
      <c r="I75" s="328"/>
      <c r="J75" s="328"/>
      <c r="K75" s="328"/>
      <c r="L75" s="328"/>
    </row>
    <row r="76" spans="1:13">
      <c r="A76" s="328"/>
      <c r="B76" s="328" t="s">
        <v>343</v>
      </c>
      <c r="C76" s="328"/>
      <c r="D76" s="328"/>
      <c r="E76" s="328"/>
      <c r="F76" s="328"/>
      <c r="G76" s="328"/>
      <c r="H76" s="328"/>
      <c r="I76" s="328"/>
      <c r="J76" s="328"/>
      <c r="K76" s="328"/>
      <c r="L76" s="328"/>
      <c r="M76" s="178" t="s">
        <v>329</v>
      </c>
    </row>
    <row r="77" spans="1:13">
      <c r="A77" s="328"/>
      <c r="B77" s="328" t="s">
        <v>344</v>
      </c>
      <c r="C77" s="328"/>
      <c r="D77" s="328"/>
      <c r="E77" s="328"/>
      <c r="F77" s="328"/>
      <c r="G77" s="328"/>
      <c r="H77" s="328"/>
      <c r="I77" s="328"/>
      <c r="J77" s="328"/>
      <c r="K77" s="328"/>
      <c r="L77" s="328"/>
      <c r="M77" s="178" t="s">
        <v>330</v>
      </c>
    </row>
    <row r="78" spans="1:13">
      <c r="M78" s="178" t="s">
        <v>331</v>
      </c>
    </row>
    <row r="80" spans="1:13">
      <c r="H80" s="150"/>
    </row>
    <row r="81" spans="8:8">
      <c r="H81" s="150"/>
    </row>
    <row r="82" spans="8:8">
      <c r="H82" s="150"/>
    </row>
  </sheetData>
  <mergeCells count="1">
    <mergeCell ref="B58:F58"/>
  </mergeCells>
  <phoneticPr fontId="0" type="noConversion"/>
  <pageMargins left="0.9" right="0.7" top="0.6" bottom="0.4" header="0.39370078740157499" footer="0.8"/>
  <pageSetup scale="90" orientation="portrait" r:id="rId1"/>
  <headerFooter alignWithMargins="0">
    <oddFooter>&amp;C&amp;"Univers for KPMG,Regular" 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5"/>
  <sheetViews>
    <sheetView showGridLines="0" zoomScale="110" zoomScaleNormal="110" zoomScaleSheetLayoutView="90" workbookViewId="0">
      <selection activeCell="B18" sqref="B18"/>
    </sheetView>
  </sheetViews>
  <sheetFormatPr defaultColWidth="11.42578125" defaultRowHeight="12.75"/>
  <cols>
    <col min="1" max="1" width="34.28515625" style="230" customWidth="1"/>
    <col min="2" max="2" width="6.85546875" style="180" customWidth="1"/>
    <col min="3" max="3" width="11.42578125" style="230" hidden="1" customWidth="1"/>
    <col min="4" max="4" width="3" style="230" hidden="1" customWidth="1"/>
    <col min="5" max="5" width="11.42578125" style="230" hidden="1" customWidth="1"/>
    <col min="6" max="6" width="3" style="230" hidden="1" customWidth="1"/>
    <col min="7" max="7" width="13.140625" style="230" hidden="1" customWidth="1"/>
    <col min="8" max="8" width="4.42578125" style="230" customWidth="1"/>
    <col min="9" max="9" width="10.42578125" style="230" customWidth="1"/>
    <col min="10" max="10" width="3.42578125" style="230" customWidth="1"/>
    <col min="11" max="11" width="10.140625" style="230" customWidth="1"/>
    <col min="12" max="12" width="3" style="230" customWidth="1"/>
    <col min="13" max="13" width="12.42578125" style="230" customWidth="1"/>
    <col min="14" max="14" width="3.42578125" style="230" customWidth="1"/>
    <col min="15" max="15" width="10.42578125" style="230" customWidth="1"/>
    <col min="16" max="16" width="3.140625" style="230" customWidth="1"/>
    <col min="17" max="17" width="10.5703125" style="230" customWidth="1"/>
    <col min="18" max="18" width="3.85546875" style="230" customWidth="1"/>
    <col min="19" max="19" width="11.140625" style="230" customWidth="1"/>
    <col min="20" max="20" width="3.85546875" style="230" customWidth="1"/>
    <col min="21" max="21" width="11.42578125" style="230" customWidth="1"/>
    <col min="22" max="22" width="11.42578125" style="227" customWidth="1"/>
    <col min="23" max="32" width="0" style="230" hidden="1" customWidth="1"/>
    <col min="33" max="33" width="11" style="230" customWidth="1"/>
    <col min="34" max="16384" width="11.42578125" style="230"/>
  </cols>
  <sheetData>
    <row r="1" spans="1:39" s="150" customFormat="1" ht="15.75" customHeight="1">
      <c r="A1" s="302" t="s">
        <v>327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Q1" s="173"/>
      <c r="V1" s="173"/>
      <c r="W1" s="173"/>
    </row>
    <row r="2" spans="1:39" s="165" customFormat="1" ht="15.75" customHeight="1">
      <c r="A2" s="303" t="s">
        <v>328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Q2" s="267"/>
      <c r="V2" s="267"/>
      <c r="W2" s="267"/>
    </row>
    <row r="3" spans="1:39" s="150" customFormat="1" ht="15.75" customHeight="1">
      <c r="A3" s="153" t="s">
        <v>296</v>
      </c>
      <c r="I3" s="151"/>
      <c r="J3" s="151"/>
      <c r="V3" s="173"/>
    </row>
    <row r="4" spans="1:39" s="150" customFormat="1" ht="12.6" customHeight="1">
      <c r="A4" s="188"/>
      <c r="B4" s="154"/>
      <c r="C4" s="189"/>
      <c r="D4" s="189"/>
      <c r="E4" s="189"/>
      <c r="F4" s="189"/>
      <c r="G4" s="189"/>
      <c r="H4" s="189"/>
      <c r="I4" s="151"/>
      <c r="J4" s="151"/>
      <c r="K4" s="189"/>
      <c r="L4" s="189"/>
      <c r="M4" s="189"/>
      <c r="Q4" s="173"/>
      <c r="V4" s="173"/>
      <c r="W4" s="173"/>
    </row>
    <row r="5" spans="1:39" s="150" customFormat="1" ht="15.75" customHeight="1">
      <c r="A5" s="149" t="s">
        <v>317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Q5" s="173"/>
      <c r="V5" s="173"/>
      <c r="W5" s="173"/>
    </row>
    <row r="6" spans="1:39" s="150" customFormat="1" ht="8.85" customHeight="1">
      <c r="A6" s="188"/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Q6" s="173"/>
      <c r="V6" s="173"/>
      <c r="W6" s="173"/>
      <c r="AG6" s="297"/>
      <c r="AH6" s="297"/>
      <c r="AI6" s="297"/>
      <c r="AJ6" s="297"/>
      <c r="AK6" s="297"/>
      <c r="AL6" s="297"/>
      <c r="AM6" s="297"/>
    </row>
    <row r="7" spans="1:39" s="150" customFormat="1" ht="15.75" customHeight="1">
      <c r="A7" s="153" t="s">
        <v>337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V7" s="173"/>
      <c r="AG7" s="297"/>
      <c r="AH7" s="297"/>
      <c r="AI7" s="297"/>
      <c r="AJ7" s="297"/>
      <c r="AK7" s="297"/>
      <c r="AL7" s="297"/>
      <c r="AM7" s="297"/>
    </row>
    <row r="8" spans="1:39" s="150" customFormat="1" ht="9.4" customHeight="1">
      <c r="A8" s="154"/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Q8" s="173"/>
      <c r="V8" s="173"/>
      <c r="W8" s="173"/>
      <c r="AG8" s="297"/>
      <c r="AH8" s="297"/>
      <c r="AI8" s="297"/>
      <c r="AJ8" s="297"/>
      <c r="AK8" s="297"/>
      <c r="AL8" s="297"/>
      <c r="AM8" s="297"/>
    </row>
    <row r="9" spans="1:39" s="150" customFormat="1" ht="15.75" customHeight="1">
      <c r="A9" s="154" t="s">
        <v>213</v>
      </c>
      <c r="B9" s="154"/>
      <c r="C9" s="154"/>
      <c r="D9" s="154"/>
      <c r="E9" s="154"/>
      <c r="F9" s="154"/>
      <c r="G9" s="216"/>
      <c r="H9" s="216"/>
      <c r="I9" s="174"/>
      <c r="J9" s="174"/>
      <c r="K9" s="173"/>
      <c r="L9" s="173"/>
      <c r="M9" s="173"/>
      <c r="AG9" s="297"/>
      <c r="AH9" s="297"/>
      <c r="AI9" s="297"/>
      <c r="AJ9" s="297"/>
      <c r="AK9" s="297"/>
      <c r="AL9" s="297"/>
      <c r="AM9" s="297"/>
    </row>
    <row r="10" spans="1:39" s="150" customFormat="1" ht="15.75" customHeight="1" thickBot="1">
      <c r="A10" s="217"/>
      <c r="B10" s="218"/>
      <c r="C10" s="218"/>
      <c r="D10" s="218"/>
      <c r="E10" s="218"/>
      <c r="F10" s="218"/>
      <c r="G10" s="218"/>
      <c r="H10" s="218"/>
      <c r="I10" s="219"/>
      <c r="J10" s="219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173"/>
      <c r="W10" s="174"/>
      <c r="X10" s="151"/>
      <c r="AG10" s="297"/>
      <c r="AH10" s="297"/>
      <c r="AI10" s="297"/>
      <c r="AJ10" s="297"/>
      <c r="AK10" s="297"/>
      <c r="AL10" s="297"/>
      <c r="AM10" s="297"/>
    </row>
    <row r="11" spans="1:39" s="150" customFormat="1" ht="15.75" customHeight="1" thickBot="1">
      <c r="A11" s="154"/>
      <c r="I11" s="151"/>
      <c r="J11" s="151"/>
      <c r="V11" s="173"/>
      <c r="W11" s="174"/>
      <c r="X11" s="151"/>
      <c r="AG11" s="297"/>
      <c r="AH11" s="297"/>
      <c r="AI11" s="297"/>
      <c r="AJ11" s="297"/>
      <c r="AK11" s="297"/>
      <c r="AL11" s="297"/>
      <c r="AM11" s="297"/>
    </row>
    <row r="12" spans="1:39" s="150" customFormat="1" ht="18.600000000000001" customHeight="1" thickTop="1">
      <c r="A12" s="191"/>
      <c r="B12" s="173"/>
      <c r="C12" s="173"/>
      <c r="D12" s="173"/>
      <c r="E12" s="173"/>
      <c r="F12" s="173"/>
      <c r="G12" s="173"/>
      <c r="H12" s="173"/>
      <c r="I12" s="220" t="s">
        <v>221</v>
      </c>
      <c r="J12" s="220"/>
      <c r="K12" s="220"/>
      <c r="L12" s="220"/>
      <c r="M12" s="220"/>
      <c r="N12" s="220"/>
      <c r="O12" s="220" t="s">
        <v>221</v>
      </c>
      <c r="P12" s="220"/>
      <c r="Q12" s="220"/>
      <c r="R12" s="220"/>
      <c r="S12" s="220"/>
      <c r="T12" s="220"/>
      <c r="U12" s="220" t="s">
        <v>221</v>
      </c>
      <c r="V12" s="173"/>
      <c r="W12" s="174"/>
      <c r="X12" s="156"/>
      <c r="Y12" s="155"/>
      <c r="Z12" s="155"/>
      <c r="AA12" s="155"/>
      <c r="AG12" s="297"/>
      <c r="AH12" s="297"/>
      <c r="AI12" s="297"/>
      <c r="AJ12" s="297"/>
      <c r="AK12" s="297"/>
      <c r="AL12" s="297"/>
      <c r="AM12" s="297"/>
    </row>
    <row r="13" spans="1:39">
      <c r="A13" s="221" t="s">
        <v>231</v>
      </c>
      <c r="B13" s="222" t="s">
        <v>143</v>
      </c>
      <c r="C13" s="223">
        <v>38352</v>
      </c>
      <c r="D13" s="223"/>
      <c r="E13" s="224" t="s">
        <v>232</v>
      </c>
      <c r="F13" s="223"/>
      <c r="G13" s="224" t="s">
        <v>233</v>
      </c>
      <c r="H13" s="223"/>
      <c r="I13" s="321">
        <v>42369</v>
      </c>
      <c r="J13" s="225"/>
      <c r="K13" s="226" t="s">
        <v>232</v>
      </c>
      <c r="L13" s="225"/>
      <c r="M13" s="226" t="s">
        <v>233</v>
      </c>
      <c r="N13" s="225"/>
      <c r="O13" s="321">
        <v>42735</v>
      </c>
      <c r="P13" s="225"/>
      <c r="Q13" s="226" t="s">
        <v>232</v>
      </c>
      <c r="R13" s="225"/>
      <c r="S13" s="226" t="s">
        <v>233</v>
      </c>
      <c r="T13" s="225"/>
      <c r="U13" s="321">
        <v>43100</v>
      </c>
      <c r="W13" s="228"/>
      <c r="X13" s="229"/>
      <c r="Y13" s="229"/>
      <c r="Z13" s="229"/>
      <c r="AA13" s="229"/>
      <c r="AB13" s="229"/>
      <c r="AC13" s="229"/>
      <c r="AD13" s="229"/>
      <c r="AE13" s="229"/>
      <c r="AF13" s="229"/>
      <c r="AG13" s="298"/>
      <c r="AH13" s="298"/>
      <c r="AI13" s="298"/>
      <c r="AJ13" s="298"/>
      <c r="AK13" s="298"/>
      <c r="AL13" s="298"/>
      <c r="AM13" s="298"/>
    </row>
    <row r="14" spans="1:39" ht="9.1999999999999993" customHeight="1">
      <c r="Q14" s="178"/>
      <c r="R14" s="178"/>
      <c r="S14" s="178"/>
      <c r="X14" s="229"/>
      <c r="Y14" s="229"/>
      <c r="Z14" s="229"/>
      <c r="AA14" s="229"/>
      <c r="AB14" s="229"/>
      <c r="AC14" s="229"/>
      <c r="AD14" s="229"/>
      <c r="AE14" s="229"/>
      <c r="AF14" s="229"/>
      <c r="AG14" s="298"/>
      <c r="AH14" s="298"/>
      <c r="AI14" s="298"/>
      <c r="AJ14" s="298"/>
      <c r="AK14" s="298"/>
      <c r="AL14" s="298"/>
      <c r="AM14" s="298"/>
    </row>
    <row r="15" spans="1:39">
      <c r="A15" s="230" t="s">
        <v>188</v>
      </c>
      <c r="C15" s="231">
        <v>90000</v>
      </c>
      <c r="D15" s="231"/>
      <c r="E15" s="232">
        <v>45000</v>
      </c>
      <c r="F15" s="231"/>
      <c r="G15" s="232">
        <v>0</v>
      </c>
      <c r="H15" s="231"/>
      <c r="I15" s="255">
        <v>155770.6</v>
      </c>
      <c r="J15" s="233"/>
      <c r="K15" s="233">
        <v>0</v>
      </c>
      <c r="L15" s="297"/>
      <c r="M15" s="233">
        <v>0</v>
      </c>
      <c r="N15" s="233"/>
      <c r="O15" s="233">
        <f>+M15+K15+I15</f>
        <v>155770.6</v>
      </c>
      <c r="P15" s="233"/>
      <c r="Q15" s="233">
        <v>0</v>
      </c>
      <c r="R15" s="233"/>
      <c r="S15" s="233">
        <v>0</v>
      </c>
      <c r="T15" s="233"/>
      <c r="U15" s="233">
        <f t="shared" ref="U15:U18" si="0">+S15+Q15+O15</f>
        <v>155770.6</v>
      </c>
      <c r="X15" s="229"/>
      <c r="Y15" s="229"/>
      <c r="Z15" s="229"/>
      <c r="AA15" s="229"/>
      <c r="AB15" s="229"/>
      <c r="AC15" s="229"/>
      <c r="AD15" s="229"/>
      <c r="AE15" s="229"/>
      <c r="AF15" s="229"/>
      <c r="AG15" s="298"/>
      <c r="AH15" s="298"/>
      <c r="AI15" s="298"/>
      <c r="AJ15" s="298"/>
      <c r="AK15" s="298"/>
      <c r="AL15" s="298"/>
      <c r="AM15" s="298"/>
    </row>
    <row r="16" spans="1:39">
      <c r="A16" s="230" t="s">
        <v>238</v>
      </c>
      <c r="B16" s="180">
        <v>24</v>
      </c>
      <c r="C16" s="231">
        <v>23773.4</v>
      </c>
      <c r="D16" s="231"/>
      <c r="E16" s="231">
        <v>3399</v>
      </c>
      <c r="F16" s="231"/>
      <c r="G16" s="232">
        <v>0</v>
      </c>
      <c r="H16" s="231"/>
      <c r="I16" s="255">
        <v>38942.699999999997</v>
      </c>
      <c r="J16" s="233"/>
      <c r="K16" s="233">
        <v>0</v>
      </c>
      <c r="L16" s="297"/>
      <c r="M16" s="233">
        <v>0</v>
      </c>
      <c r="N16" s="233"/>
      <c r="O16" s="233">
        <f>+M16+K16+I16</f>
        <v>38942.699999999997</v>
      </c>
      <c r="P16" s="233"/>
      <c r="Q16" s="233">
        <v>0</v>
      </c>
      <c r="R16" s="233"/>
      <c r="S16" s="233">
        <v>0</v>
      </c>
      <c r="T16" s="233"/>
      <c r="U16" s="233">
        <f t="shared" si="0"/>
        <v>38942.699999999997</v>
      </c>
      <c r="X16" s="229"/>
      <c r="Y16" s="229"/>
      <c r="Z16" s="229"/>
      <c r="AA16" s="229"/>
      <c r="AB16" s="229"/>
      <c r="AC16" s="229"/>
      <c r="AD16" s="229"/>
      <c r="AE16" s="229"/>
      <c r="AF16" s="229"/>
      <c r="AG16" s="298"/>
      <c r="AH16" s="298"/>
      <c r="AI16" s="298"/>
      <c r="AJ16" s="298"/>
      <c r="AK16" s="298"/>
      <c r="AL16" s="298"/>
      <c r="AM16" s="298"/>
    </row>
    <row r="17" spans="1:39">
      <c r="A17" s="230" t="s">
        <v>312</v>
      </c>
      <c r="C17" s="231">
        <v>36869.300000000003</v>
      </c>
      <c r="D17" s="231"/>
      <c r="E17" s="231">
        <v>0</v>
      </c>
      <c r="F17" s="231"/>
      <c r="G17" s="232">
        <v>-30000</v>
      </c>
      <c r="H17" s="231"/>
      <c r="I17" s="255">
        <v>10283</v>
      </c>
      <c r="J17" s="233"/>
      <c r="K17" s="233">
        <v>0</v>
      </c>
      <c r="L17" s="297"/>
      <c r="M17" s="233">
        <v>0</v>
      </c>
      <c r="N17" s="233"/>
      <c r="O17" s="233">
        <f>+M17+K17+I17</f>
        <v>10283</v>
      </c>
      <c r="P17" s="233"/>
      <c r="Q17" s="233">
        <v>0</v>
      </c>
      <c r="R17" s="233"/>
      <c r="S17" s="233">
        <v>-5000</v>
      </c>
      <c r="T17" s="233"/>
      <c r="U17" s="233">
        <f t="shared" si="0"/>
        <v>5283</v>
      </c>
      <c r="X17" s="229"/>
      <c r="Y17" s="229"/>
      <c r="Z17" s="229"/>
      <c r="AA17" s="229"/>
      <c r="AB17" s="229"/>
      <c r="AC17" s="229"/>
      <c r="AD17" s="229"/>
      <c r="AE17" s="229"/>
      <c r="AF17" s="229"/>
      <c r="AG17" s="298"/>
      <c r="AH17" s="298"/>
      <c r="AI17" s="298"/>
      <c r="AJ17" s="298"/>
      <c r="AK17" s="298"/>
      <c r="AL17" s="298"/>
      <c r="AM17" s="298"/>
    </row>
    <row r="18" spans="1:39">
      <c r="A18" s="230" t="s">
        <v>242</v>
      </c>
      <c r="B18" s="180">
        <v>25</v>
      </c>
      <c r="C18" s="231">
        <v>26552.400000000001</v>
      </c>
      <c r="D18" s="231"/>
      <c r="E18" s="231">
        <v>56794.9</v>
      </c>
      <c r="F18" s="231"/>
      <c r="G18" s="235">
        <v>-46422.8</v>
      </c>
      <c r="H18" s="231"/>
      <c r="I18" s="300">
        <v>42633.1</v>
      </c>
      <c r="J18" s="233"/>
      <c r="K18" s="251">
        <f>549.8+367.9</f>
        <v>917.69999999999993</v>
      </c>
      <c r="L18" s="297"/>
      <c r="M18" s="251">
        <f>-15877.9-706.2</f>
        <v>-16584.099999999999</v>
      </c>
      <c r="N18" s="233"/>
      <c r="O18" s="251">
        <f>+M18+K18+I18</f>
        <v>26966.7</v>
      </c>
      <c r="P18" s="233"/>
      <c r="Q18" s="251">
        <f>370.9+5084.9</f>
        <v>5455.7999999999993</v>
      </c>
      <c r="R18" s="233"/>
      <c r="S18" s="251">
        <f>-25000-747.1</f>
        <v>-25747.1</v>
      </c>
      <c r="T18" s="233"/>
      <c r="U18" s="233">
        <f t="shared" si="0"/>
        <v>6675.4000000000015</v>
      </c>
      <c r="X18" s="229"/>
      <c r="Y18" s="229"/>
      <c r="Z18" s="229"/>
      <c r="AA18" s="229"/>
      <c r="AB18" s="229"/>
      <c r="AC18" s="229"/>
      <c r="AD18" s="229"/>
      <c r="AE18" s="229"/>
      <c r="AF18" s="229"/>
      <c r="AG18" s="298"/>
      <c r="AH18" s="298"/>
      <c r="AI18" s="298"/>
      <c r="AJ18" s="298"/>
      <c r="AK18" s="298"/>
      <c r="AL18" s="298"/>
      <c r="AM18" s="298"/>
    </row>
    <row r="19" spans="1:39" ht="19.5" customHeight="1" thickBot="1">
      <c r="C19" s="236">
        <f>SUM(C15:C18)</f>
        <v>177195.1</v>
      </c>
      <c r="D19" s="237"/>
      <c r="E19" s="238">
        <f>SUM(E15:E18)</f>
        <v>105193.9</v>
      </c>
      <c r="F19" s="237"/>
      <c r="G19" s="238">
        <f>SUM(G15:G18)</f>
        <v>-76422.8</v>
      </c>
      <c r="H19" s="237"/>
      <c r="I19" s="300">
        <f>SUM(I15:I18)</f>
        <v>247629.4</v>
      </c>
      <c r="J19" s="240"/>
      <c r="K19" s="300">
        <f>SUM(K15:K18)</f>
        <v>917.69999999999993</v>
      </c>
      <c r="L19" s="322"/>
      <c r="M19" s="300">
        <f>SUM(M15:M18)</f>
        <v>-16584.099999999999</v>
      </c>
      <c r="N19" s="240"/>
      <c r="O19" s="300">
        <f>SUM(O15:O18)</f>
        <v>231963</v>
      </c>
      <c r="P19" s="240"/>
      <c r="Q19" s="300">
        <f>SUM(Q15:Q18)</f>
        <v>5455.7999999999993</v>
      </c>
      <c r="R19" s="241"/>
      <c r="S19" s="300">
        <f>SUM(S15:S18)</f>
        <v>-30747.1</v>
      </c>
      <c r="T19" s="240"/>
      <c r="U19" s="239">
        <f>SUM(U15:U18)</f>
        <v>206671.69999999998</v>
      </c>
      <c r="X19" s="229"/>
      <c r="Y19" s="229"/>
      <c r="Z19" s="229"/>
      <c r="AA19" s="229"/>
      <c r="AB19" s="229"/>
      <c r="AC19" s="229"/>
      <c r="AD19" s="229"/>
      <c r="AE19" s="229"/>
      <c r="AF19" s="229"/>
      <c r="AG19" s="298"/>
      <c r="AH19" s="298"/>
      <c r="AI19" s="298"/>
      <c r="AJ19" s="298"/>
      <c r="AK19" s="298"/>
      <c r="AL19" s="298"/>
      <c r="AM19" s="298"/>
    </row>
    <row r="20" spans="1:39" ht="9.1999999999999993" customHeight="1" thickTop="1">
      <c r="C20" s="242"/>
      <c r="D20" s="242"/>
      <c r="E20" s="242"/>
      <c r="F20" s="242"/>
      <c r="G20" s="242"/>
      <c r="H20" s="242"/>
      <c r="I20" s="255"/>
      <c r="J20" s="243"/>
      <c r="K20" s="255"/>
      <c r="L20" s="297"/>
      <c r="M20" s="255"/>
      <c r="N20" s="243"/>
      <c r="O20" s="243"/>
      <c r="P20" s="243"/>
      <c r="Q20" s="243"/>
      <c r="R20" s="243"/>
      <c r="S20" s="243"/>
      <c r="T20" s="243"/>
      <c r="U20" s="243"/>
      <c r="X20" s="229"/>
      <c r="Y20" s="229"/>
      <c r="Z20" s="229"/>
      <c r="AA20" s="229"/>
      <c r="AB20" s="229"/>
      <c r="AC20" s="229"/>
      <c r="AD20" s="229"/>
      <c r="AE20" s="229"/>
      <c r="AF20" s="229"/>
      <c r="AG20" s="298"/>
      <c r="AH20" s="298"/>
      <c r="AI20" s="298"/>
      <c r="AJ20" s="298"/>
      <c r="AK20" s="298"/>
      <c r="AL20" s="298"/>
      <c r="AM20" s="298"/>
    </row>
    <row r="21" spans="1:39">
      <c r="A21" s="244" t="s">
        <v>303</v>
      </c>
      <c r="C21" s="242"/>
      <c r="D21" s="242"/>
      <c r="E21" s="242"/>
      <c r="F21" s="242"/>
      <c r="G21" s="242"/>
      <c r="H21" s="242"/>
      <c r="I21" s="255"/>
      <c r="J21" s="243"/>
      <c r="K21" s="255"/>
      <c r="L21" s="298"/>
      <c r="M21" s="255"/>
      <c r="N21" s="243"/>
      <c r="O21" s="243"/>
      <c r="P21" s="243"/>
      <c r="Q21" s="243"/>
      <c r="R21" s="243"/>
      <c r="S21" s="243"/>
      <c r="T21" s="243"/>
      <c r="U21" s="243"/>
      <c r="X21" s="229"/>
      <c r="Y21" s="229"/>
      <c r="Z21" s="229"/>
      <c r="AA21" s="229"/>
      <c r="AB21" s="229"/>
      <c r="AC21" s="229"/>
      <c r="AD21" s="229"/>
      <c r="AE21" s="229"/>
      <c r="AF21" s="229"/>
      <c r="AG21" s="299"/>
      <c r="AH21" s="298"/>
      <c r="AI21" s="298"/>
      <c r="AJ21" s="298"/>
      <c r="AK21" s="298"/>
      <c r="AL21" s="298"/>
      <c r="AM21" s="299"/>
    </row>
    <row r="22" spans="1:39" ht="8.25" customHeight="1">
      <c r="C22" s="242"/>
      <c r="D22" s="242"/>
      <c r="E22" s="242"/>
      <c r="F22" s="242"/>
      <c r="G22" s="242"/>
      <c r="H22" s="242"/>
      <c r="I22" s="255"/>
      <c r="J22" s="243"/>
      <c r="K22" s="255"/>
      <c r="L22" s="298"/>
      <c r="M22" s="255"/>
      <c r="N22" s="243"/>
      <c r="O22" s="243"/>
      <c r="P22" s="243"/>
      <c r="Q22" s="243"/>
      <c r="R22" s="243"/>
      <c r="S22" s="243"/>
      <c r="T22" s="243"/>
      <c r="U22" s="243"/>
      <c r="X22" s="229"/>
      <c r="Y22" s="229"/>
      <c r="Z22" s="229"/>
      <c r="AA22" s="229"/>
      <c r="AB22" s="229"/>
      <c r="AC22" s="229"/>
      <c r="AD22" s="229"/>
      <c r="AE22" s="229"/>
      <c r="AF22" s="229"/>
      <c r="AG22" s="234"/>
    </row>
    <row r="23" spans="1:39">
      <c r="A23" s="230" t="s">
        <v>247</v>
      </c>
      <c r="B23" s="180">
        <v>25</v>
      </c>
      <c r="C23" s="231">
        <v>20257.8</v>
      </c>
      <c r="D23" s="231"/>
      <c r="E23" s="231">
        <v>0</v>
      </c>
      <c r="F23" s="231"/>
      <c r="G23" s="232">
        <v>-3094.7</v>
      </c>
      <c r="H23" s="231"/>
      <c r="I23" s="233">
        <v>15422</v>
      </c>
      <c r="J23" s="233"/>
      <c r="K23" s="233">
        <v>0</v>
      </c>
      <c r="L23" s="233"/>
      <c r="M23" s="233">
        <v>-549.79999999999995</v>
      </c>
      <c r="N23" s="233"/>
      <c r="O23" s="233">
        <f>+M23+K23+I23</f>
        <v>14872.2</v>
      </c>
      <c r="P23" s="233"/>
      <c r="Q23" s="233">
        <v>2028.4</v>
      </c>
      <c r="R23" s="233"/>
      <c r="S23" s="233">
        <v>0</v>
      </c>
      <c r="T23" s="233"/>
      <c r="U23" s="233">
        <f t="shared" ref="U23:U26" si="1">+S23+Q23+O23</f>
        <v>16900.600000000002</v>
      </c>
      <c r="X23" s="229"/>
      <c r="Y23" s="229"/>
      <c r="Z23" s="229"/>
      <c r="AA23" s="229"/>
      <c r="AB23" s="229"/>
      <c r="AC23" s="229"/>
      <c r="AD23" s="229"/>
      <c r="AE23" s="229"/>
      <c r="AF23" s="229"/>
      <c r="AG23" s="234"/>
    </row>
    <row r="24" spans="1:39">
      <c r="A24" s="230" t="s">
        <v>248</v>
      </c>
      <c r="C24" s="245">
        <v>10348.200000000001</v>
      </c>
      <c r="D24" s="245"/>
      <c r="E24" s="232">
        <v>0</v>
      </c>
      <c r="F24" s="245"/>
      <c r="G24" s="245">
        <v>-608</v>
      </c>
      <c r="H24" s="245"/>
      <c r="I24" s="233">
        <v>9107.9</v>
      </c>
      <c r="J24" s="246"/>
      <c r="K24" s="233">
        <v>0</v>
      </c>
      <c r="L24" s="246"/>
      <c r="M24" s="233">
        <v>-2</v>
      </c>
      <c r="N24" s="246"/>
      <c r="O24" s="233">
        <f>+M24+K24+I24</f>
        <v>9105.9</v>
      </c>
      <c r="P24" s="246"/>
      <c r="Q24" s="233">
        <v>0</v>
      </c>
      <c r="R24" s="246"/>
      <c r="S24" s="233">
        <f>-272</f>
        <v>-272</v>
      </c>
      <c r="T24" s="246"/>
      <c r="U24" s="233">
        <f t="shared" si="1"/>
        <v>8833.9</v>
      </c>
      <c r="AG24" s="234"/>
    </row>
    <row r="25" spans="1:39">
      <c r="A25" s="230" t="s">
        <v>249</v>
      </c>
      <c r="B25" s="247" t="s">
        <v>281</v>
      </c>
      <c r="C25" s="231">
        <v>0</v>
      </c>
      <c r="D25" s="231"/>
      <c r="E25" s="231">
        <v>7.8</v>
      </c>
      <c r="F25" s="231"/>
      <c r="G25" s="232">
        <v>0</v>
      </c>
      <c r="H25" s="231"/>
      <c r="I25" s="233">
        <v>40</v>
      </c>
      <c r="J25" s="233"/>
      <c r="K25" s="233">
        <v>8</v>
      </c>
      <c r="L25" s="233"/>
      <c r="M25" s="233">
        <v>0</v>
      </c>
      <c r="N25" s="233"/>
      <c r="O25" s="233">
        <f>+M25+K25+I25</f>
        <v>48</v>
      </c>
      <c r="P25" s="233"/>
      <c r="Q25" s="233">
        <v>48.7</v>
      </c>
      <c r="R25" s="233"/>
      <c r="S25" s="233">
        <v>0</v>
      </c>
      <c r="T25" s="233"/>
      <c r="U25" s="233">
        <f t="shared" si="1"/>
        <v>96.7</v>
      </c>
      <c r="X25" s="229"/>
      <c r="Y25" s="229"/>
      <c r="Z25" s="229"/>
      <c r="AA25" s="229"/>
      <c r="AB25" s="229"/>
      <c r="AC25" s="229"/>
      <c r="AD25" s="229"/>
      <c r="AE25" s="229"/>
      <c r="AF25" s="229"/>
      <c r="AG25" s="234"/>
    </row>
    <row r="26" spans="1:39" ht="15">
      <c r="A26" s="230" t="s">
        <v>357</v>
      </c>
      <c r="C26" s="248">
        <v>7060.5</v>
      </c>
      <c r="D26" s="249"/>
      <c r="E26" s="248">
        <v>6873.6</v>
      </c>
      <c r="F26" s="249"/>
      <c r="G26" s="248">
        <v>-3985.9</v>
      </c>
      <c r="H26" s="249"/>
      <c r="I26" s="233">
        <v>902.9</v>
      </c>
      <c r="J26" s="250"/>
      <c r="K26" s="251">
        <v>0</v>
      </c>
      <c r="L26" s="250"/>
      <c r="M26" s="246">
        <v>-367.9</v>
      </c>
      <c r="N26" s="250"/>
      <c r="O26" s="233">
        <f>+M26+K26+I26</f>
        <v>535</v>
      </c>
      <c r="P26" s="250"/>
      <c r="Q26" s="251">
        <v>0</v>
      </c>
      <c r="R26" s="250"/>
      <c r="S26" s="246">
        <v>-370.9</v>
      </c>
      <c r="T26" s="250"/>
      <c r="U26" s="233">
        <f t="shared" si="1"/>
        <v>164.10000000000002</v>
      </c>
      <c r="AG26" s="234"/>
    </row>
    <row r="27" spans="1:39" ht="18" customHeight="1">
      <c r="C27" s="252">
        <f>SUM(C23:C26)</f>
        <v>37666.5</v>
      </c>
      <c r="D27" s="252"/>
      <c r="E27" s="253">
        <f>SUM(E23:E26)</f>
        <v>6881.4000000000005</v>
      </c>
      <c r="F27" s="252"/>
      <c r="G27" s="254">
        <f>SUM(G23:G26)</f>
        <v>-7688.6</v>
      </c>
      <c r="H27" s="252"/>
      <c r="I27" s="239">
        <f>SUM(I23:I26)</f>
        <v>25472.800000000003</v>
      </c>
      <c r="J27" s="255"/>
      <c r="K27" s="239">
        <f>SUM(K23:K26)</f>
        <v>8</v>
      </c>
      <c r="L27" s="298"/>
      <c r="M27" s="239">
        <f>SUM(M23:M26)</f>
        <v>-919.69999999999993</v>
      </c>
      <c r="N27" s="255"/>
      <c r="O27" s="239">
        <f>SUM(O23:O26)</f>
        <v>24561.1</v>
      </c>
      <c r="P27" s="255"/>
      <c r="Q27" s="239">
        <f>SUM(Q23:Q26)</f>
        <v>2077.1</v>
      </c>
      <c r="R27" s="255"/>
      <c r="S27" s="239">
        <f>SUM(S23:S26)</f>
        <v>-642.9</v>
      </c>
      <c r="T27" s="255"/>
      <c r="U27" s="239">
        <f>SUM(U23:U26)</f>
        <v>25995.3</v>
      </c>
      <c r="AG27" s="234"/>
    </row>
    <row r="28" spans="1:39" ht="23.45" customHeight="1" thickBot="1">
      <c r="A28" s="256" t="s">
        <v>251</v>
      </c>
      <c r="C28" s="238">
        <f>C19+C27</f>
        <v>214861.6</v>
      </c>
      <c r="D28" s="238"/>
      <c r="E28" s="238">
        <f>E19+E27</f>
        <v>112075.29999999999</v>
      </c>
      <c r="F28" s="238"/>
      <c r="G28" s="238">
        <f>G19+G27</f>
        <v>-84111.400000000009</v>
      </c>
      <c r="H28" s="257"/>
      <c r="I28" s="301">
        <f>+I27+I19</f>
        <v>273102.2</v>
      </c>
      <c r="J28" s="255"/>
      <c r="K28" s="301">
        <f>+K27+K19</f>
        <v>925.69999999999993</v>
      </c>
      <c r="L28" s="298"/>
      <c r="M28" s="301">
        <f>+M27+M19</f>
        <v>-17503.8</v>
      </c>
      <c r="N28" s="255"/>
      <c r="O28" s="301">
        <f>+O27+O19</f>
        <v>256524.1</v>
      </c>
      <c r="P28" s="255"/>
      <c r="Q28" s="301">
        <f>+Q27+Q19</f>
        <v>7532.9</v>
      </c>
      <c r="R28" s="255"/>
      <c r="S28" s="301">
        <f>+S27+S19</f>
        <v>-31390</v>
      </c>
      <c r="T28" s="255"/>
      <c r="U28" s="301">
        <f>+U27+U19</f>
        <v>232666.99999999997</v>
      </c>
      <c r="V28" s="258"/>
      <c r="AG28" s="234"/>
    </row>
    <row r="29" spans="1:39" ht="13.5" thickTop="1">
      <c r="C29" s="242"/>
      <c r="D29" s="242"/>
      <c r="E29" s="242"/>
      <c r="F29" s="242"/>
      <c r="G29" s="242"/>
      <c r="H29" s="242"/>
      <c r="I29" s="298"/>
      <c r="J29" s="243"/>
      <c r="K29" s="243"/>
      <c r="L29" s="243"/>
      <c r="M29" s="243"/>
      <c r="N29" s="243"/>
      <c r="O29" s="259"/>
      <c r="P29" s="243"/>
      <c r="Q29" s="243"/>
      <c r="R29" s="243"/>
      <c r="S29" s="243"/>
      <c r="T29" s="243"/>
      <c r="U29" s="259"/>
    </row>
    <row r="30" spans="1:39" ht="19.5" customHeight="1" thickBot="1">
      <c r="A30" s="230" t="s">
        <v>252</v>
      </c>
      <c r="C30" s="236">
        <f>C28/(C15/(100/8.75))</f>
        <v>27.284012698412699</v>
      </c>
      <c r="D30" s="252"/>
      <c r="E30" s="242"/>
      <c r="F30" s="252"/>
      <c r="G30" s="242"/>
      <c r="H30" s="252"/>
      <c r="I30" s="260">
        <f>I28/I15</f>
        <v>1.7532332802210431</v>
      </c>
      <c r="J30" s="255"/>
      <c r="K30" s="261"/>
      <c r="L30" s="255"/>
      <c r="M30" s="262"/>
      <c r="N30" s="255"/>
      <c r="O30" s="260">
        <f>O28/O15</f>
        <v>1.6468069070800266</v>
      </c>
      <c r="P30" s="255"/>
      <c r="Q30" s="261"/>
      <c r="R30" s="255"/>
      <c r="S30" s="262"/>
      <c r="T30" s="255"/>
      <c r="U30" s="263">
        <f>U28/U15</f>
        <v>1.4936515619763933</v>
      </c>
    </row>
    <row r="31" spans="1:39" ht="13.5" thickTop="1"/>
    <row r="32" spans="1:39">
      <c r="C32" s="242"/>
      <c r="D32" s="242"/>
      <c r="E32" s="242"/>
      <c r="F32" s="242"/>
      <c r="G32" s="242"/>
      <c r="H32" s="242"/>
      <c r="I32" s="242"/>
      <c r="J32" s="242"/>
      <c r="L32" s="242"/>
      <c r="N32" s="242"/>
      <c r="O32" s="264"/>
      <c r="P32" s="242"/>
      <c r="R32" s="242"/>
      <c r="T32" s="242"/>
    </row>
    <row r="33" spans="1:24" s="178" customFormat="1">
      <c r="A33" s="265" t="s">
        <v>339</v>
      </c>
      <c r="B33" s="180"/>
      <c r="C33" s="231"/>
      <c r="D33" s="231"/>
      <c r="E33" s="231"/>
      <c r="F33" s="231"/>
      <c r="G33" s="231"/>
      <c r="H33" s="231"/>
      <c r="I33" s="231"/>
      <c r="J33" s="231"/>
      <c r="L33" s="231"/>
      <c r="N33" s="231"/>
      <c r="P33" s="231"/>
      <c r="V33" s="197"/>
    </row>
    <row r="34" spans="1:24" s="178" customFormat="1">
      <c r="A34" s="265"/>
      <c r="B34" s="180"/>
      <c r="C34" s="231"/>
      <c r="D34" s="231"/>
      <c r="E34" s="231"/>
      <c r="F34" s="231"/>
      <c r="G34" s="231"/>
      <c r="H34" s="231"/>
      <c r="I34" s="231"/>
      <c r="J34" s="231"/>
      <c r="L34" s="231"/>
      <c r="N34" s="231"/>
      <c r="P34" s="231"/>
      <c r="V34" s="197"/>
    </row>
    <row r="35" spans="1:24" s="269" customFormat="1" ht="13.15" customHeight="1">
      <c r="A35" s="323" t="s">
        <v>335</v>
      </c>
      <c r="B35" s="268"/>
      <c r="F35" s="270"/>
      <c r="G35" s="271"/>
      <c r="H35" s="272"/>
      <c r="I35" s="272"/>
      <c r="J35" s="272"/>
      <c r="K35" s="271"/>
      <c r="V35" s="273"/>
    </row>
    <row r="36" spans="1:24" s="269" customFormat="1" ht="13.15" customHeight="1">
      <c r="A36" s="315"/>
      <c r="B36" s="268"/>
      <c r="F36" s="270"/>
      <c r="G36" s="271"/>
      <c r="H36" s="272"/>
      <c r="I36" s="272"/>
      <c r="J36" s="272"/>
      <c r="K36" s="271"/>
      <c r="V36" s="273"/>
    </row>
    <row r="37" spans="1:24" s="269" customFormat="1" ht="5.65" customHeight="1">
      <c r="A37" s="315"/>
      <c r="B37" s="268"/>
      <c r="F37" s="270"/>
      <c r="G37" s="271"/>
      <c r="H37" s="272"/>
      <c r="I37" s="272"/>
      <c r="J37" s="272"/>
      <c r="K37" s="271"/>
      <c r="V37" s="273"/>
    </row>
    <row r="38" spans="1:24" s="269" customFormat="1" ht="15.75" customHeight="1">
      <c r="A38" s="315"/>
      <c r="B38" s="268"/>
      <c r="F38" s="270"/>
      <c r="G38" s="271"/>
      <c r="H38" s="272"/>
      <c r="I38" s="272"/>
      <c r="J38" s="272"/>
      <c r="K38" s="271"/>
      <c r="V38" s="273"/>
    </row>
    <row r="39" spans="1:24">
      <c r="A39" s="266"/>
      <c r="C39" s="242"/>
      <c r="D39" s="242"/>
      <c r="E39" s="242"/>
      <c r="F39" s="242"/>
      <c r="G39" s="242"/>
      <c r="H39" s="242"/>
      <c r="I39" s="242"/>
      <c r="J39" s="242"/>
      <c r="L39" s="242"/>
      <c r="N39" s="242"/>
      <c r="P39" s="242"/>
    </row>
    <row r="40" spans="1:24" s="269" customFormat="1" ht="13.15" customHeight="1">
      <c r="A40" s="318" t="s">
        <v>253</v>
      </c>
      <c r="B40" s="268"/>
      <c r="F40" s="270"/>
      <c r="G40" s="271"/>
      <c r="H40" s="272"/>
      <c r="I40" s="272"/>
      <c r="J40" s="272"/>
      <c r="K40" s="271"/>
      <c r="V40" s="273"/>
    </row>
    <row r="41" spans="1:24" s="269" customFormat="1" ht="6.95" customHeight="1">
      <c r="A41" s="318"/>
      <c r="B41" s="268"/>
      <c r="F41" s="270"/>
      <c r="G41" s="271"/>
      <c r="H41" s="272"/>
      <c r="I41" s="272"/>
      <c r="J41" s="272"/>
      <c r="K41" s="271"/>
      <c r="V41" s="273"/>
    </row>
    <row r="42" spans="1:24" s="269" customFormat="1" ht="13.15" customHeight="1">
      <c r="A42" s="318"/>
      <c r="B42" s="268"/>
      <c r="F42" s="270"/>
      <c r="G42" s="271"/>
      <c r="H42" s="272"/>
      <c r="I42" s="272"/>
      <c r="J42" s="272"/>
      <c r="K42" s="271"/>
      <c r="V42" s="273"/>
    </row>
    <row r="43" spans="1:24" s="269" customFormat="1" ht="18" customHeight="1">
      <c r="A43" s="315"/>
      <c r="B43" s="268"/>
      <c r="F43" s="270"/>
      <c r="G43" s="271"/>
      <c r="H43" s="272"/>
      <c r="I43" s="272"/>
      <c r="J43" s="272"/>
      <c r="K43" s="271"/>
      <c r="V43" s="273"/>
    </row>
    <row r="44" spans="1:24" ht="22.5" customHeight="1"/>
    <row r="45" spans="1:24" s="150" customFormat="1" ht="15.75" customHeight="1" thickBot="1">
      <c r="A45" s="217"/>
      <c r="B45" s="218"/>
      <c r="C45" s="218"/>
      <c r="D45" s="218"/>
      <c r="E45" s="218"/>
      <c r="F45" s="218"/>
      <c r="G45" s="218"/>
      <c r="H45" s="218"/>
      <c r="I45" s="219"/>
      <c r="J45" s="219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8"/>
      <c r="V45" s="173"/>
      <c r="W45" s="174"/>
      <c r="X45" s="151"/>
    </row>
    <row r="46" spans="1:24" s="150" customFormat="1" ht="15.75" customHeight="1">
      <c r="A46" s="154"/>
      <c r="I46" s="151"/>
      <c r="J46" s="151"/>
      <c r="V46" s="173"/>
      <c r="W46" s="174"/>
      <c r="X46" s="151"/>
    </row>
    <row r="47" spans="1:24" s="150" customFormat="1">
      <c r="A47" s="307" t="s">
        <v>254</v>
      </c>
      <c r="I47" s="151"/>
      <c r="J47" s="151"/>
      <c r="K47" s="176"/>
      <c r="L47" s="171"/>
      <c r="M47" s="176"/>
    </row>
    <row r="48" spans="1:24" s="150" customFormat="1">
      <c r="A48" s="175"/>
      <c r="I48" s="151"/>
      <c r="J48" s="151"/>
      <c r="K48" s="176"/>
      <c r="L48" s="171"/>
      <c r="M48" s="176"/>
    </row>
    <row r="49" spans="1:18" s="150" customFormat="1">
      <c r="A49" s="175"/>
      <c r="I49" s="151"/>
      <c r="J49" s="151"/>
      <c r="K49" s="176"/>
      <c r="L49" s="171"/>
      <c r="M49" s="176"/>
    </row>
    <row r="50" spans="1:18" s="178" customFormat="1">
      <c r="A50" s="328" t="s">
        <v>341</v>
      </c>
      <c r="B50" s="328"/>
      <c r="C50" s="328"/>
      <c r="D50" s="328"/>
      <c r="E50" s="328"/>
      <c r="F50" s="328"/>
      <c r="G50" s="328"/>
      <c r="H50" s="328"/>
      <c r="I50" s="328"/>
      <c r="J50" s="328"/>
      <c r="K50" s="328"/>
      <c r="L50" s="328"/>
    </row>
    <row r="51" spans="1:18" s="178" customFormat="1">
      <c r="A51" s="328" t="s">
        <v>342</v>
      </c>
      <c r="B51" s="328"/>
      <c r="C51" s="328"/>
      <c r="D51" s="328"/>
      <c r="E51" s="328"/>
      <c r="F51" s="328"/>
      <c r="G51" s="328"/>
      <c r="H51" s="328"/>
      <c r="I51" s="328"/>
      <c r="J51" s="328"/>
      <c r="K51" s="328"/>
      <c r="L51" s="328"/>
    </row>
    <row r="52" spans="1:18" s="178" customFormat="1">
      <c r="A52" s="328"/>
      <c r="B52" s="328"/>
      <c r="C52" s="328"/>
      <c r="D52" s="328"/>
      <c r="E52" s="328"/>
      <c r="F52" s="328"/>
      <c r="G52" s="328"/>
      <c r="H52" s="328"/>
      <c r="I52" s="328"/>
      <c r="J52" s="328"/>
      <c r="K52" s="328"/>
      <c r="L52" s="328"/>
    </row>
    <row r="53" spans="1:18" s="178" customFormat="1">
      <c r="A53" s="328"/>
      <c r="B53" s="328"/>
      <c r="C53" s="328"/>
      <c r="D53" s="328"/>
      <c r="E53" s="328"/>
      <c r="F53" s="328"/>
      <c r="G53" s="328"/>
      <c r="H53" s="328"/>
      <c r="I53" s="328"/>
      <c r="J53" s="328"/>
      <c r="K53" s="328"/>
      <c r="L53" s="328"/>
    </row>
    <row r="54" spans="1:18" s="178" customFormat="1">
      <c r="A54" s="328"/>
      <c r="B54" s="328"/>
      <c r="C54" s="328"/>
      <c r="D54" s="328"/>
      <c r="E54" s="328"/>
      <c r="F54" s="328"/>
      <c r="G54" s="328"/>
      <c r="H54" s="328"/>
      <c r="I54" s="328"/>
      <c r="J54" s="328"/>
      <c r="K54" s="328"/>
      <c r="L54" s="328"/>
    </row>
    <row r="55" spans="1:18" s="178" customFormat="1">
      <c r="A55" s="328"/>
      <c r="B55" s="328"/>
      <c r="C55" s="328"/>
      <c r="D55" s="328"/>
      <c r="E55" s="328"/>
      <c r="F55" s="328"/>
      <c r="G55" s="328"/>
      <c r="H55" s="328"/>
      <c r="I55" s="328"/>
      <c r="J55" s="328"/>
      <c r="K55" s="328"/>
      <c r="L55" s="328"/>
    </row>
    <row r="56" spans="1:18" s="178" customFormat="1">
      <c r="A56" s="328"/>
      <c r="B56" s="328"/>
      <c r="C56" s="328"/>
      <c r="D56" s="328"/>
      <c r="E56" s="328"/>
      <c r="F56" s="328"/>
      <c r="G56" s="328"/>
      <c r="H56" s="328"/>
      <c r="I56" s="328"/>
      <c r="J56" s="328"/>
      <c r="K56" s="328"/>
      <c r="L56" s="328"/>
      <c r="M56" s="180"/>
      <c r="N56" s="180"/>
    </row>
    <row r="57" spans="1:18" s="178" customFormat="1">
      <c r="A57" s="328" t="s">
        <v>343</v>
      </c>
      <c r="B57" s="328"/>
      <c r="C57" s="328"/>
      <c r="D57" s="328"/>
      <c r="E57" s="328"/>
      <c r="F57" s="328"/>
      <c r="G57" s="328"/>
      <c r="H57" s="328"/>
      <c r="I57" s="328"/>
      <c r="J57" s="328"/>
      <c r="K57" s="328"/>
      <c r="L57" s="180"/>
      <c r="M57" s="180"/>
      <c r="R57" s="178" t="s">
        <v>329</v>
      </c>
    </row>
    <row r="58" spans="1:18" s="178" customFormat="1">
      <c r="A58" s="328" t="s">
        <v>344</v>
      </c>
      <c r="B58" s="328"/>
      <c r="C58" s="328"/>
      <c r="D58" s="328"/>
      <c r="E58" s="328"/>
      <c r="F58" s="328"/>
      <c r="G58" s="328"/>
      <c r="H58" s="328"/>
      <c r="I58" s="328"/>
      <c r="J58" s="328"/>
      <c r="K58" s="328"/>
      <c r="L58" s="180"/>
      <c r="M58" s="180"/>
      <c r="R58" s="178" t="s">
        <v>330</v>
      </c>
    </row>
    <row r="59" spans="1:18" s="150" customFormat="1">
      <c r="H59" s="151"/>
      <c r="I59" s="151"/>
      <c r="R59" s="178" t="s">
        <v>331</v>
      </c>
    </row>
    <row r="60" spans="1:18" s="178" customFormat="1" hidden="1">
      <c r="H60" s="179"/>
    </row>
    <row r="61" spans="1:18" s="150" customFormat="1" hidden="1">
      <c r="A61" s="173"/>
      <c r="B61" s="173"/>
      <c r="C61" s="173"/>
      <c r="D61" s="173"/>
      <c r="E61" s="173"/>
      <c r="F61" s="173"/>
      <c r="G61" s="173"/>
      <c r="H61" s="173"/>
      <c r="I61" s="174"/>
      <c r="J61" s="173"/>
      <c r="K61" s="173"/>
      <c r="L61" s="173"/>
    </row>
    <row r="62" spans="1:18" s="150" customFormat="1" hidden="1">
      <c r="A62" s="173"/>
      <c r="B62" s="173"/>
      <c r="C62" s="173"/>
      <c r="D62" s="173"/>
      <c r="E62" s="173"/>
      <c r="F62" s="173"/>
      <c r="G62" s="173"/>
      <c r="H62" s="173"/>
      <c r="I62" s="174"/>
      <c r="J62" s="173"/>
      <c r="K62" s="173"/>
      <c r="L62" s="173"/>
    </row>
    <row r="63" spans="1:18" s="178" customFormat="1">
      <c r="G63" s="179"/>
      <c r="H63" s="180"/>
    </row>
    <row r="64" spans="1:18" s="178" customFormat="1">
      <c r="G64" s="179"/>
      <c r="H64" s="180"/>
    </row>
    <row r="65" spans="8:8">
      <c r="H65" s="178"/>
    </row>
  </sheetData>
  <phoneticPr fontId="0" type="noConversion"/>
  <pageMargins left="0.9" right="0.7" top="0.6" bottom="0.4" header="0.39370078740157499" footer="0.8"/>
  <pageSetup scale="85" orientation="landscape" horizontalDpi="300" verticalDpi="300" r:id="rId1"/>
  <headerFooter alignWithMargins="0">
    <oddFooter>&amp;C&amp;"Univers for KPMG,Regular" 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4"/>
  <sheetViews>
    <sheetView showGridLines="0" tabSelected="1" topLeftCell="A22" zoomScale="110" zoomScaleNormal="110" workbookViewId="0">
      <selection activeCell="B40" sqref="B40"/>
    </sheetView>
  </sheetViews>
  <sheetFormatPr defaultColWidth="11.42578125" defaultRowHeight="12.75"/>
  <cols>
    <col min="1" max="1" width="1" style="230" customWidth="1"/>
    <col min="2" max="2" width="67.140625" style="230" customWidth="1"/>
    <col min="3" max="3" width="8.28515625" style="257" customWidth="1"/>
    <col min="4" max="4" width="11.85546875" style="234" bestFit="1" customWidth="1"/>
    <col min="5" max="5" width="4.42578125" style="234" customWidth="1"/>
    <col min="6" max="6" width="11.85546875" style="234" bestFit="1" customWidth="1"/>
    <col min="7" max="7" width="5" style="230" customWidth="1"/>
    <col min="8" max="16384" width="11.42578125" style="230"/>
  </cols>
  <sheetData>
    <row r="1" spans="1:12" s="150" customFormat="1" ht="15.75" customHeight="1">
      <c r="A1" s="302" t="s">
        <v>327</v>
      </c>
      <c r="B1" s="293"/>
      <c r="C1" s="293"/>
      <c r="D1" s="293"/>
      <c r="E1" s="293"/>
      <c r="F1" s="324"/>
      <c r="G1" s="173"/>
      <c r="H1" s="174"/>
      <c r="I1" s="174"/>
      <c r="J1" s="173"/>
    </row>
    <row r="2" spans="1:12" s="165" customFormat="1" ht="15.75" customHeight="1">
      <c r="A2" s="303" t="s">
        <v>328</v>
      </c>
      <c r="B2" s="294"/>
      <c r="C2" s="294"/>
      <c r="D2" s="294"/>
      <c r="E2" s="294"/>
      <c r="F2" s="325"/>
      <c r="G2" s="267"/>
      <c r="H2" s="292"/>
      <c r="I2" s="292"/>
      <c r="J2" s="267"/>
    </row>
    <row r="3" spans="1:12" s="150" customFormat="1" ht="15.75" customHeight="1">
      <c r="A3" s="153" t="s">
        <v>296</v>
      </c>
      <c r="H3" s="151"/>
      <c r="I3" s="151"/>
    </row>
    <row r="4" spans="1:12" s="150" customFormat="1" ht="12.75" customHeight="1">
      <c r="A4" s="293"/>
      <c r="B4" s="293"/>
      <c r="C4" s="293"/>
      <c r="D4" s="293"/>
      <c r="E4" s="293"/>
      <c r="F4" s="324"/>
      <c r="G4" s="173"/>
      <c r="H4" s="174"/>
      <c r="I4" s="174"/>
      <c r="J4" s="173"/>
    </row>
    <row r="5" spans="1:12" s="150" customFormat="1" ht="15.75" customHeight="1">
      <c r="A5" s="294" t="s">
        <v>318</v>
      </c>
      <c r="B5" s="293"/>
      <c r="C5" s="293"/>
      <c r="D5" s="293"/>
      <c r="E5" s="293"/>
      <c r="F5" s="324"/>
      <c r="G5" s="173"/>
      <c r="H5" s="174"/>
      <c r="I5" s="174"/>
      <c r="J5" s="173"/>
    </row>
    <row r="6" spans="1:12" s="150" customFormat="1" ht="12" customHeight="1">
      <c r="A6" s="294"/>
      <c r="B6" s="293"/>
      <c r="C6" s="293"/>
      <c r="D6" s="293"/>
      <c r="E6" s="293"/>
      <c r="F6" s="324"/>
      <c r="G6" s="173"/>
      <c r="H6" s="174"/>
      <c r="I6" s="174"/>
      <c r="J6" s="173"/>
    </row>
    <row r="7" spans="1:12" s="150" customFormat="1" ht="15.75" customHeight="1">
      <c r="A7" s="153" t="s">
        <v>337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</row>
    <row r="8" spans="1:12" s="150" customFormat="1" ht="12" customHeight="1">
      <c r="A8" s="293"/>
      <c r="B8" s="293"/>
      <c r="C8" s="293"/>
      <c r="D8" s="293"/>
      <c r="E8" s="293"/>
      <c r="F8" s="324"/>
      <c r="G8" s="216"/>
      <c r="H8" s="174"/>
      <c r="I8" s="174"/>
      <c r="J8" s="173"/>
    </row>
    <row r="9" spans="1:12" s="150" customFormat="1" ht="15.75" customHeight="1">
      <c r="A9" s="293" t="s">
        <v>213</v>
      </c>
      <c r="B9" s="293"/>
      <c r="C9" s="293"/>
      <c r="D9" s="293"/>
      <c r="E9" s="293"/>
      <c r="F9" s="324"/>
      <c r="G9" s="216"/>
      <c r="H9" s="174"/>
      <c r="I9" s="174"/>
      <c r="J9" s="173"/>
      <c r="K9" s="173"/>
      <c r="L9" s="173"/>
    </row>
    <row r="10" spans="1:12" s="150" customFormat="1" ht="15.75" customHeight="1" thickBot="1">
      <c r="A10" s="293"/>
      <c r="B10" s="293"/>
      <c r="C10" s="293"/>
      <c r="D10" s="293"/>
      <c r="E10" s="293"/>
      <c r="F10" s="324"/>
      <c r="G10" s="173"/>
      <c r="H10" s="174"/>
      <c r="I10" s="174"/>
      <c r="J10" s="173"/>
      <c r="K10" s="173"/>
      <c r="L10" s="173"/>
    </row>
    <row r="11" spans="1:12" s="150" customFormat="1" ht="15.75" customHeight="1" thickTop="1">
      <c r="A11" s="190"/>
      <c r="B11" s="190"/>
      <c r="C11" s="190"/>
      <c r="D11" s="190"/>
      <c r="E11" s="190"/>
      <c r="F11" s="190"/>
      <c r="G11" s="173"/>
      <c r="H11" s="174"/>
      <c r="I11" s="174"/>
      <c r="J11" s="173"/>
      <c r="K11" s="173"/>
      <c r="L11" s="173"/>
    </row>
    <row r="12" spans="1:12" ht="15.75" customHeight="1">
      <c r="A12" s="274"/>
      <c r="B12" s="274"/>
      <c r="C12" s="274"/>
      <c r="D12" s="316">
        <v>2017</v>
      </c>
      <c r="E12" s="274"/>
      <c r="F12" s="316">
        <v>2016</v>
      </c>
      <c r="G12" s="227"/>
      <c r="H12" s="227"/>
      <c r="I12" s="227"/>
      <c r="J12" s="227"/>
    </row>
    <row r="13" spans="1:12" ht="14.1" customHeight="1">
      <c r="A13" s="274" t="s">
        <v>309</v>
      </c>
      <c r="B13" s="274"/>
      <c r="C13" s="275"/>
      <c r="D13" s="276"/>
      <c r="E13" s="276"/>
      <c r="F13" s="276"/>
    </row>
    <row r="14" spans="1:12" ht="14.1" customHeight="1">
      <c r="B14" s="277" t="s">
        <v>346</v>
      </c>
      <c r="C14" s="275"/>
      <c r="D14" s="278">
        <v>7113.4</v>
      </c>
      <c r="E14" s="276"/>
      <c r="F14" s="278">
        <v>-706.2</v>
      </c>
    </row>
    <row r="15" spans="1:12" ht="14.1" customHeight="1">
      <c r="B15" s="277" t="s">
        <v>347</v>
      </c>
      <c r="C15" s="275"/>
      <c r="D15" s="278"/>
      <c r="E15" s="276"/>
      <c r="F15" s="278"/>
    </row>
    <row r="16" spans="1:12" ht="14.1" customHeight="1">
      <c r="B16" s="277" t="s">
        <v>324</v>
      </c>
      <c r="C16" s="275"/>
      <c r="D16" s="278"/>
      <c r="E16" s="276"/>
      <c r="F16" s="278"/>
    </row>
    <row r="17" spans="1:8" ht="14.1" customHeight="1">
      <c r="A17" s="274"/>
      <c r="B17" s="279" t="s">
        <v>355</v>
      </c>
      <c r="C17" s="275"/>
      <c r="D17" s="278">
        <v>46558.2</v>
      </c>
      <c r="E17" s="276"/>
      <c r="F17" s="278">
        <v>45592.9</v>
      </c>
    </row>
    <row r="18" spans="1:8" ht="14.1" customHeight="1">
      <c r="A18" s="274"/>
      <c r="B18" s="279" t="s">
        <v>356</v>
      </c>
      <c r="C18" s="275"/>
      <c r="D18" s="278">
        <v>-3121.3</v>
      </c>
      <c r="E18" s="280"/>
      <c r="F18" s="278">
        <v>-2280.6</v>
      </c>
    </row>
    <row r="19" spans="1:8" ht="14.1" customHeight="1">
      <c r="A19" s="274"/>
      <c r="B19" s="279" t="s">
        <v>203</v>
      </c>
      <c r="C19" s="275"/>
      <c r="D19" s="278">
        <v>3938.1</v>
      </c>
      <c r="E19" s="276"/>
      <c r="F19" s="278">
        <v>3274.5</v>
      </c>
    </row>
    <row r="20" spans="1:8" ht="14.1" customHeight="1">
      <c r="A20" s="274"/>
      <c r="B20" s="279" t="s">
        <v>267</v>
      </c>
      <c r="C20" s="275"/>
      <c r="D20" s="278">
        <v>-15990.3</v>
      </c>
      <c r="E20" s="276"/>
      <c r="F20" s="278">
        <v>-13975.3</v>
      </c>
      <c r="H20" s="230" t="s">
        <v>281</v>
      </c>
    </row>
    <row r="21" spans="1:8" ht="14.1" customHeight="1">
      <c r="A21" s="274"/>
      <c r="B21" s="279" t="s">
        <v>268</v>
      </c>
      <c r="C21" s="275"/>
      <c r="D21" s="278">
        <v>1969.4</v>
      </c>
      <c r="E21" s="276"/>
      <c r="F21" s="278">
        <v>1356</v>
      </c>
    </row>
    <row r="22" spans="1:8" ht="14.1" customHeight="1">
      <c r="A22" s="274"/>
      <c r="B22" s="279" t="s">
        <v>313</v>
      </c>
      <c r="C22" s="275"/>
      <c r="D22" s="278">
        <v>533.29999999999995</v>
      </c>
      <c r="E22" s="276"/>
      <c r="F22" s="278">
        <v>1.1000000000000001</v>
      </c>
    </row>
    <row r="23" spans="1:8" s="178" customFormat="1" ht="14.1" customHeight="1">
      <c r="A23" s="281"/>
      <c r="B23" s="282" t="s">
        <v>351</v>
      </c>
      <c r="C23" s="283"/>
      <c r="D23" s="278">
        <v>-163.4</v>
      </c>
      <c r="E23" s="276"/>
      <c r="F23" s="278">
        <v>-156</v>
      </c>
    </row>
    <row r="24" spans="1:8" s="178" customFormat="1" ht="19.899999999999999" customHeight="1">
      <c r="B24" s="284" t="s">
        <v>301</v>
      </c>
      <c r="C24" s="283"/>
      <c r="D24" s="278"/>
      <c r="E24" s="276"/>
      <c r="F24" s="278"/>
    </row>
    <row r="25" spans="1:8" s="178" customFormat="1" ht="14.1" customHeight="1">
      <c r="A25" s="281"/>
      <c r="B25" s="282" t="s">
        <v>214</v>
      </c>
      <c r="C25" s="283"/>
      <c r="D25" s="278">
        <v>-90082.6</v>
      </c>
      <c r="E25" s="276"/>
      <c r="F25" s="278">
        <v>-17612.7</v>
      </c>
    </row>
    <row r="26" spans="1:8" s="178" customFormat="1" ht="14.1" customHeight="1">
      <c r="A26" s="281"/>
      <c r="B26" s="282" t="s">
        <v>41</v>
      </c>
      <c r="C26" s="283"/>
      <c r="D26" s="278">
        <v>-685.1</v>
      </c>
      <c r="E26" s="276"/>
      <c r="F26" s="278">
        <v>-4267.2</v>
      </c>
    </row>
    <row r="27" spans="1:8" s="178" customFormat="1" ht="14.1" customHeight="1">
      <c r="A27" s="281"/>
      <c r="B27" s="282" t="s">
        <v>269</v>
      </c>
      <c r="C27" s="283"/>
      <c r="D27" s="278">
        <v>74882.8</v>
      </c>
      <c r="E27" s="276"/>
      <c r="F27" s="278">
        <v>-202683.6</v>
      </c>
    </row>
    <row r="28" spans="1:8" s="178" customFormat="1" ht="14.1" customHeight="1">
      <c r="A28" s="281"/>
      <c r="B28" s="282" t="s">
        <v>180</v>
      </c>
      <c r="C28" s="283"/>
      <c r="D28" s="285">
        <v>7255.7</v>
      </c>
      <c r="E28" s="276"/>
      <c r="F28" s="285">
        <v>-28700.400000000001</v>
      </c>
    </row>
    <row r="29" spans="1:8" s="178" customFormat="1" ht="16.5" customHeight="1">
      <c r="A29" s="286" t="s">
        <v>348</v>
      </c>
      <c r="C29" s="283"/>
      <c r="D29" s="285">
        <f>SUM(D14:D28)</f>
        <v>32208.199999999993</v>
      </c>
      <c r="E29" s="276"/>
      <c r="F29" s="285">
        <f>SUM(F14:F28)</f>
        <v>-220157.5</v>
      </c>
    </row>
    <row r="30" spans="1:8" s="178" customFormat="1">
      <c r="A30" s="281"/>
      <c r="B30" s="282"/>
      <c r="C30" s="283"/>
      <c r="D30" s="278"/>
      <c r="E30" s="276"/>
      <c r="F30" s="278"/>
    </row>
    <row r="31" spans="1:8" s="178" customFormat="1" ht="14.1" customHeight="1">
      <c r="A31" s="281" t="s">
        <v>305</v>
      </c>
      <c r="B31" s="281"/>
      <c r="C31" s="283"/>
      <c r="D31" s="278"/>
      <c r="E31" s="276"/>
      <c r="F31" s="278"/>
    </row>
    <row r="32" spans="1:8" ht="14.1" customHeight="1">
      <c r="B32" s="277" t="s">
        <v>289</v>
      </c>
      <c r="C32" s="275"/>
      <c r="D32" s="278">
        <v>334.2</v>
      </c>
      <c r="E32" s="276"/>
      <c r="F32" s="278">
        <v>137217.29999999999</v>
      </c>
    </row>
    <row r="33" spans="1:11" ht="14.1" customHeight="1">
      <c r="B33" s="277" t="s">
        <v>311</v>
      </c>
      <c r="C33" s="275"/>
      <c r="D33" s="278">
        <v>10387.6</v>
      </c>
      <c r="E33" s="276"/>
      <c r="F33" s="278">
        <v>1253.9000000000001</v>
      </c>
    </row>
    <row r="34" spans="1:11" ht="14.1" customHeight="1">
      <c r="B34" s="277" t="s">
        <v>310</v>
      </c>
      <c r="C34" s="275"/>
      <c r="D34" s="278">
        <v>-9409.7999999999993</v>
      </c>
      <c r="E34" s="276"/>
      <c r="F34" s="278">
        <v>-3973.7</v>
      </c>
    </row>
    <row r="35" spans="1:11" ht="14.1" customHeight="1">
      <c r="B35" s="277" t="s">
        <v>273</v>
      </c>
      <c r="C35" s="275"/>
      <c r="D35" s="285">
        <v>858.1</v>
      </c>
      <c r="E35" s="276"/>
      <c r="F35" s="285">
        <v>2628.5</v>
      </c>
    </row>
    <row r="36" spans="1:11" ht="16.5" customHeight="1">
      <c r="A36" s="287" t="s">
        <v>349</v>
      </c>
      <c r="B36" s="279"/>
      <c r="C36" s="275"/>
      <c r="D36" s="285">
        <f>SUM(D32:D35)</f>
        <v>2170.1000000000017</v>
      </c>
      <c r="E36" s="276"/>
      <c r="F36" s="285">
        <f>SUM(F32:F35)</f>
        <v>137125.99999999997</v>
      </c>
    </row>
    <row r="37" spans="1:11">
      <c r="A37" s="274"/>
      <c r="B37" s="274"/>
      <c r="C37" s="275"/>
      <c r="D37" s="278"/>
      <c r="E37" s="276"/>
      <c r="F37" s="278"/>
    </row>
    <row r="38" spans="1:11" ht="14.1" customHeight="1">
      <c r="A38" s="274" t="s">
        <v>304</v>
      </c>
      <c r="B38" s="274"/>
      <c r="C38" s="275"/>
      <c r="D38" s="278"/>
      <c r="E38" s="276"/>
      <c r="F38" s="278"/>
      <c r="H38" s="230" t="s">
        <v>281</v>
      </c>
    </row>
    <row r="39" spans="1:11" ht="14.1" customHeight="1">
      <c r="B39" s="277" t="s">
        <v>358</v>
      </c>
      <c r="C39" s="275"/>
      <c r="D39" s="278">
        <v>-3370</v>
      </c>
      <c r="E39" s="276"/>
      <c r="F39" s="278">
        <v>62534.1</v>
      </c>
    </row>
    <row r="40" spans="1:11" ht="14.1" customHeight="1">
      <c r="B40" s="277" t="s">
        <v>359</v>
      </c>
      <c r="C40" s="275"/>
      <c r="D40" s="278">
        <v>25000</v>
      </c>
      <c r="E40" s="276"/>
      <c r="F40" s="278">
        <v>0</v>
      </c>
    </row>
    <row r="41" spans="1:11" ht="14.1" customHeight="1">
      <c r="B41" s="277" t="s">
        <v>278</v>
      </c>
      <c r="C41" s="275"/>
      <c r="D41" s="278">
        <v>-30000</v>
      </c>
      <c r="E41" s="276"/>
      <c r="F41" s="278">
        <v>-15877.9</v>
      </c>
    </row>
    <row r="42" spans="1:11" ht="17.45" customHeight="1">
      <c r="A42" s="287" t="s">
        <v>350</v>
      </c>
      <c r="B42" s="279"/>
      <c r="C42" s="275"/>
      <c r="D42" s="288">
        <f>SUM(D39:D41)</f>
        <v>-8370</v>
      </c>
      <c r="E42" s="276"/>
      <c r="F42" s="288">
        <f>SUM(F39:F41)</f>
        <v>46656.2</v>
      </c>
    </row>
    <row r="43" spans="1:11" s="178" customFormat="1" ht="25.5" customHeight="1">
      <c r="A43" s="281" t="s">
        <v>360</v>
      </c>
      <c r="B43" s="281"/>
      <c r="C43" s="283"/>
      <c r="D43" s="278">
        <f>D29+D36+D42</f>
        <v>26008.299999999996</v>
      </c>
      <c r="E43" s="276"/>
      <c r="F43" s="278">
        <f>F29+F36+F42</f>
        <v>-36375.300000000032</v>
      </c>
    </row>
    <row r="44" spans="1:11" ht="14.1" customHeight="1">
      <c r="A44" s="274" t="s">
        <v>284</v>
      </c>
      <c r="B44" s="274"/>
      <c r="C44" s="275"/>
      <c r="D44" s="285">
        <v>315896.3</v>
      </c>
      <c r="E44" s="276"/>
      <c r="F44" s="285">
        <v>352271.6</v>
      </c>
    </row>
    <row r="45" spans="1:11" ht="17.45" customHeight="1" thickBot="1">
      <c r="A45" s="287" t="s">
        <v>302</v>
      </c>
      <c r="B45" s="274"/>
      <c r="C45" s="275"/>
      <c r="D45" s="289">
        <f>SUM(D43:D44)</f>
        <v>341904.6</v>
      </c>
      <c r="E45" s="276"/>
      <c r="F45" s="289">
        <f>SUM(F43:F44)</f>
        <v>315896.29999999993</v>
      </c>
    </row>
    <row r="46" spans="1:11" ht="22.35" customHeight="1" thickTop="1">
      <c r="A46" s="274"/>
      <c r="B46" s="274"/>
      <c r="C46" s="275"/>
      <c r="D46" s="290"/>
      <c r="E46" s="291"/>
      <c r="F46" s="290"/>
      <c r="I46" s="319"/>
      <c r="K46" s="319"/>
    </row>
    <row r="47" spans="1:11" ht="13.15" customHeight="1">
      <c r="A47" s="323" t="s">
        <v>334</v>
      </c>
      <c r="C47" s="230"/>
      <c r="D47" s="230"/>
      <c r="E47" s="230"/>
      <c r="F47" s="230"/>
      <c r="I47" s="320"/>
      <c r="K47" s="320"/>
    </row>
    <row r="48" spans="1:11" ht="13.15" customHeight="1">
      <c r="A48" s="296"/>
      <c r="B48" s="230" t="s">
        <v>336</v>
      </c>
      <c r="C48" s="230"/>
      <c r="D48" s="230"/>
      <c r="E48" s="230"/>
      <c r="F48" s="230"/>
      <c r="I48" s="319"/>
      <c r="K48" s="319"/>
    </row>
    <row r="49" spans="1:19" ht="13.15" customHeight="1">
      <c r="A49" s="296"/>
      <c r="C49" s="230"/>
      <c r="D49" s="230"/>
      <c r="E49" s="230"/>
      <c r="F49" s="230"/>
      <c r="I49" s="320"/>
    </row>
    <row r="50" spans="1:19" ht="4.1500000000000004" customHeight="1">
      <c r="A50" s="296"/>
      <c r="C50" s="230"/>
      <c r="D50" s="230"/>
      <c r="E50" s="230"/>
      <c r="F50" s="230"/>
      <c r="I50" s="319"/>
    </row>
    <row r="51" spans="1:19">
      <c r="I51" s="319"/>
    </row>
    <row r="52" spans="1:19" ht="13.15" customHeight="1">
      <c r="A52" s="296" t="s">
        <v>253</v>
      </c>
      <c r="C52" s="230"/>
      <c r="D52" s="230"/>
      <c r="E52" s="230"/>
      <c r="F52" s="230"/>
      <c r="I52" s="320"/>
    </row>
    <row r="53" spans="1:19" ht="15.6" customHeight="1">
      <c r="A53" s="296"/>
      <c r="C53" s="230"/>
      <c r="D53" s="230"/>
      <c r="E53" s="230"/>
      <c r="F53" s="230"/>
      <c r="I53" s="319"/>
    </row>
    <row r="54" spans="1:19" ht="15.6" customHeight="1">
      <c r="A54" s="296"/>
      <c r="C54" s="230"/>
      <c r="D54" s="230"/>
      <c r="E54" s="230"/>
      <c r="F54" s="230"/>
      <c r="I54" s="319"/>
    </row>
    <row r="55" spans="1:19" ht="15.6" customHeight="1">
      <c r="A55" s="296"/>
      <c r="C55" s="230"/>
      <c r="D55" s="230"/>
      <c r="E55" s="230"/>
      <c r="F55" s="230"/>
    </row>
    <row r="56" spans="1:19" s="269" customFormat="1" ht="15.6" customHeight="1"/>
    <row r="57" spans="1:19" s="150" customFormat="1" ht="15.75" customHeight="1" thickBot="1">
      <c r="A57" s="293"/>
      <c r="B57" s="293"/>
      <c r="C57" s="293"/>
      <c r="D57" s="293"/>
      <c r="E57" s="293"/>
      <c r="F57" s="324"/>
      <c r="G57" s="173"/>
      <c r="H57" s="174"/>
      <c r="I57" s="174"/>
      <c r="J57" s="173"/>
      <c r="K57" s="173"/>
      <c r="L57" s="173"/>
    </row>
    <row r="58" spans="1:19" s="150" customFormat="1" ht="15.75" customHeight="1" thickTop="1">
      <c r="A58" s="190"/>
      <c r="B58" s="190"/>
      <c r="C58" s="190"/>
      <c r="D58" s="190"/>
      <c r="E58" s="190"/>
      <c r="F58" s="190"/>
      <c r="G58" s="173"/>
      <c r="H58" s="174"/>
      <c r="I58" s="174"/>
      <c r="J58" s="173"/>
      <c r="K58" s="173"/>
      <c r="L58" s="173"/>
    </row>
    <row r="59" spans="1:19">
      <c r="A59" s="307" t="s">
        <v>254</v>
      </c>
      <c r="B59" s="150"/>
      <c r="C59" s="150"/>
      <c r="D59" s="150"/>
      <c r="E59" s="150"/>
      <c r="F59" s="150"/>
      <c r="G59" s="150"/>
      <c r="H59" s="150"/>
      <c r="I59" s="151"/>
      <c r="J59" s="151"/>
      <c r="K59" s="176"/>
      <c r="L59" s="171"/>
      <c r="M59" s="176"/>
      <c r="N59" s="150"/>
      <c r="O59" s="150"/>
      <c r="P59" s="150"/>
      <c r="Q59" s="150"/>
      <c r="R59" s="150"/>
      <c r="S59" s="150"/>
    </row>
    <row r="60" spans="1:19">
      <c r="A60" s="175"/>
      <c r="B60" s="150"/>
      <c r="C60" s="150"/>
      <c r="D60" s="150"/>
      <c r="E60" s="150"/>
      <c r="F60" s="150"/>
      <c r="G60" s="150"/>
      <c r="H60" s="150"/>
      <c r="I60" s="151"/>
      <c r="J60" s="151"/>
      <c r="K60" s="176"/>
      <c r="L60" s="171"/>
      <c r="M60" s="176"/>
      <c r="N60" s="150"/>
      <c r="O60" s="150"/>
      <c r="P60" s="150"/>
      <c r="Q60" s="150"/>
      <c r="R60" s="150"/>
      <c r="S60" s="150"/>
    </row>
    <row r="61" spans="1:19">
      <c r="A61" s="175"/>
      <c r="B61" s="150"/>
      <c r="C61" s="150"/>
      <c r="D61" s="150"/>
      <c r="E61" s="150"/>
      <c r="F61" s="150"/>
      <c r="G61" s="150"/>
      <c r="H61" s="150"/>
      <c r="I61" s="151"/>
      <c r="J61" s="151"/>
      <c r="K61" s="176"/>
      <c r="L61" s="171"/>
      <c r="M61" s="176"/>
      <c r="N61" s="150"/>
      <c r="O61" s="150"/>
      <c r="P61" s="150"/>
      <c r="Q61" s="150"/>
      <c r="R61" s="150"/>
      <c r="S61" s="150"/>
    </row>
    <row r="62" spans="1:19">
      <c r="A62" s="328" t="s">
        <v>341</v>
      </c>
      <c r="B62" s="328"/>
      <c r="C62" s="328"/>
      <c r="D62" s="328"/>
      <c r="E62" s="328"/>
      <c r="F62" s="328"/>
      <c r="G62" s="328"/>
      <c r="H62" s="328"/>
      <c r="I62" s="328"/>
      <c r="J62" s="328"/>
      <c r="K62" s="328"/>
      <c r="L62" s="328"/>
      <c r="M62" s="328"/>
      <c r="N62" s="328"/>
      <c r="O62" s="328"/>
      <c r="P62" s="328"/>
      <c r="Q62" s="178"/>
      <c r="R62" s="178"/>
      <c r="S62" s="178"/>
    </row>
    <row r="63" spans="1:19">
      <c r="A63" s="328" t="s">
        <v>342</v>
      </c>
      <c r="B63" s="328"/>
      <c r="C63" s="328"/>
      <c r="D63" s="328"/>
      <c r="E63" s="328"/>
      <c r="F63" s="328"/>
      <c r="G63" s="328"/>
      <c r="H63" s="328"/>
      <c r="I63" s="328"/>
      <c r="J63" s="328"/>
      <c r="K63" s="328"/>
      <c r="L63" s="328"/>
      <c r="M63" s="328"/>
      <c r="N63" s="328"/>
      <c r="O63" s="328"/>
      <c r="P63" s="328"/>
      <c r="Q63" s="178"/>
      <c r="R63" s="178"/>
      <c r="S63" s="178"/>
    </row>
    <row r="64" spans="1:19">
      <c r="A64" s="328"/>
      <c r="B64" s="328"/>
      <c r="C64" s="328"/>
      <c r="D64" s="328"/>
      <c r="E64" s="328"/>
      <c r="F64" s="328"/>
      <c r="G64" s="328"/>
      <c r="H64" s="328"/>
      <c r="I64" s="328"/>
      <c r="J64" s="328"/>
      <c r="K64" s="328"/>
      <c r="L64" s="328"/>
      <c r="M64" s="328"/>
      <c r="N64" s="328"/>
      <c r="O64" s="328"/>
      <c r="P64" s="328"/>
      <c r="Q64" s="178"/>
      <c r="R64" s="178"/>
      <c r="S64" s="178"/>
    </row>
    <row r="65" spans="1:19">
      <c r="A65" s="328"/>
      <c r="B65" s="328"/>
      <c r="C65" s="328"/>
      <c r="D65" s="328"/>
      <c r="E65" s="328"/>
      <c r="F65" s="328"/>
      <c r="G65" s="328"/>
      <c r="H65" s="328"/>
      <c r="I65" s="328"/>
      <c r="J65" s="328"/>
      <c r="K65" s="328"/>
      <c r="L65" s="328"/>
      <c r="M65" s="328"/>
      <c r="N65" s="328"/>
      <c r="O65" s="328"/>
      <c r="P65" s="328"/>
      <c r="Q65" s="178"/>
      <c r="R65" s="178"/>
      <c r="S65" s="178"/>
    </row>
    <row r="66" spans="1:19">
      <c r="A66" s="328"/>
      <c r="B66" s="328"/>
      <c r="C66" s="328"/>
      <c r="D66" s="328"/>
      <c r="E66" s="328"/>
      <c r="F66" s="328"/>
      <c r="G66" s="328"/>
      <c r="H66" s="328"/>
      <c r="I66" s="328"/>
      <c r="J66" s="328"/>
      <c r="K66" s="328"/>
      <c r="L66" s="328"/>
      <c r="M66" s="328"/>
      <c r="N66" s="328"/>
      <c r="O66" s="328"/>
      <c r="P66" s="328"/>
      <c r="Q66" s="178"/>
      <c r="R66" s="178"/>
      <c r="S66" s="178"/>
    </row>
    <row r="67" spans="1:19">
      <c r="A67" s="328"/>
      <c r="B67" s="328"/>
      <c r="C67" s="328"/>
      <c r="D67" s="328"/>
      <c r="E67" s="328"/>
      <c r="F67" s="328"/>
      <c r="G67" s="328"/>
      <c r="H67" s="328"/>
      <c r="I67" s="328"/>
      <c r="J67" s="328"/>
      <c r="K67" s="328"/>
      <c r="L67" s="328"/>
      <c r="M67" s="328"/>
      <c r="N67" s="328"/>
      <c r="O67" s="328"/>
      <c r="P67" s="178"/>
      <c r="Q67" s="178"/>
      <c r="R67" s="178"/>
      <c r="S67" s="178"/>
    </row>
    <row r="68" spans="1:19">
      <c r="A68" s="328"/>
      <c r="B68" s="328"/>
      <c r="C68" s="328"/>
      <c r="D68" s="328"/>
      <c r="E68" s="328"/>
      <c r="F68" s="328"/>
      <c r="G68" s="328"/>
      <c r="H68" s="328"/>
      <c r="I68" s="328"/>
      <c r="J68" s="328"/>
      <c r="K68" s="328"/>
      <c r="L68" s="328"/>
      <c r="M68" s="328"/>
      <c r="N68" s="328"/>
      <c r="O68" s="328"/>
      <c r="P68" s="178"/>
      <c r="Q68" s="178"/>
      <c r="R68" s="178"/>
      <c r="S68" s="178"/>
    </row>
    <row r="69" spans="1:19">
      <c r="A69" s="328"/>
      <c r="B69" s="328" t="s">
        <v>343</v>
      </c>
      <c r="C69" s="328"/>
      <c r="D69" s="328"/>
      <c r="E69" s="328"/>
      <c r="F69" s="328"/>
      <c r="G69" s="178" t="s">
        <v>329</v>
      </c>
      <c r="H69" s="178"/>
      <c r="I69" s="328"/>
      <c r="J69" s="328"/>
      <c r="K69" s="328"/>
      <c r="L69" s="328"/>
      <c r="M69" s="328"/>
      <c r="N69" s="328"/>
      <c r="O69" s="178"/>
      <c r="P69" s="178" t="s">
        <v>329</v>
      </c>
      <c r="Q69" s="178"/>
      <c r="R69" s="178"/>
      <c r="S69" s="178"/>
    </row>
    <row r="70" spans="1:19">
      <c r="A70" s="328"/>
      <c r="B70" s="328" t="s">
        <v>344</v>
      </c>
      <c r="C70" s="328"/>
      <c r="D70" s="328"/>
      <c r="E70" s="328"/>
      <c r="F70" s="328"/>
      <c r="G70" s="178" t="s">
        <v>330</v>
      </c>
      <c r="H70" s="178"/>
      <c r="I70" s="328"/>
      <c r="J70" s="328"/>
      <c r="K70" s="328"/>
      <c r="L70" s="328"/>
      <c r="M70" s="328"/>
      <c r="N70" s="328"/>
      <c r="O70" s="178"/>
      <c r="P70" s="178" t="s">
        <v>330</v>
      </c>
      <c r="Q70" s="178"/>
      <c r="R70" s="178"/>
      <c r="S70" s="178"/>
    </row>
    <row r="71" spans="1:19">
      <c r="A71" s="328"/>
      <c r="B71" s="328"/>
      <c r="C71" s="328"/>
      <c r="D71" s="328"/>
      <c r="E71" s="328"/>
      <c r="F71" s="328"/>
      <c r="G71" s="178" t="s">
        <v>331</v>
      </c>
      <c r="H71" s="178"/>
      <c r="I71" s="328"/>
      <c r="J71" s="328"/>
      <c r="K71" s="328"/>
      <c r="L71" s="328"/>
      <c r="M71" s="328"/>
      <c r="N71" s="328"/>
      <c r="O71" s="328"/>
      <c r="P71" s="178" t="s">
        <v>331</v>
      </c>
    </row>
    <row r="76" spans="1:19">
      <c r="C76" s="230"/>
      <c r="D76" s="230"/>
      <c r="E76" s="230"/>
      <c r="F76" s="230"/>
      <c r="H76" s="179"/>
      <c r="I76" s="180"/>
    </row>
    <row r="77" spans="1:19">
      <c r="C77" s="230"/>
      <c r="D77" s="230"/>
      <c r="E77" s="230"/>
      <c r="F77" s="230"/>
      <c r="H77" s="179"/>
      <c r="I77" s="180"/>
    </row>
    <row r="78" spans="1:19">
      <c r="C78" s="230"/>
      <c r="D78" s="230"/>
      <c r="E78" s="230"/>
      <c r="F78" s="230"/>
      <c r="H78" s="179"/>
      <c r="I78" s="180"/>
    </row>
    <row r="79" spans="1:19">
      <c r="C79" s="230"/>
      <c r="D79" s="230"/>
      <c r="E79" s="230"/>
      <c r="F79" s="230"/>
      <c r="H79" s="179"/>
      <c r="I79" s="180"/>
    </row>
    <row r="80" spans="1:19">
      <c r="C80" s="230"/>
      <c r="D80" s="230"/>
      <c r="E80" s="230"/>
      <c r="F80" s="230"/>
      <c r="H80" s="179"/>
      <c r="I80" s="180"/>
    </row>
    <row r="81" spans="3:9">
      <c r="C81" s="230"/>
      <c r="D81" s="230"/>
      <c r="E81" s="230"/>
      <c r="F81" s="230"/>
      <c r="H81" s="178"/>
      <c r="I81" s="180"/>
    </row>
    <row r="82" spans="3:9">
      <c r="C82" s="230"/>
      <c r="D82" s="230"/>
      <c r="E82" s="230"/>
      <c r="F82" s="230"/>
      <c r="H82" s="178"/>
      <c r="I82" s="180"/>
    </row>
    <row r="83" spans="3:9">
      <c r="C83" s="230"/>
      <c r="D83" s="230"/>
      <c r="E83" s="230"/>
      <c r="F83" s="230"/>
      <c r="H83" s="178"/>
      <c r="I83" s="180"/>
    </row>
    <row r="84" spans="3:9">
      <c r="C84" s="230"/>
      <c r="D84" s="230"/>
      <c r="E84" s="230"/>
      <c r="F84" s="230"/>
    </row>
  </sheetData>
  <pageMargins left="0.9" right="0.7" top="0.6" bottom="0.41" header="0.31496062992126" footer="0.8"/>
  <pageSetup scale="85" orientation="portrait" r:id="rId1"/>
  <headerFooter>
    <oddFooter>&amp;C&amp;"Univers for KPMG,Regular"8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8"/>
  <sheetViews>
    <sheetView showGridLines="0" zoomScale="80" workbookViewId="0">
      <selection activeCell="B36" sqref="B36"/>
    </sheetView>
  </sheetViews>
  <sheetFormatPr defaultColWidth="11.42578125" defaultRowHeight="12.75"/>
  <cols>
    <col min="1" max="1" width="28.42578125" style="91" customWidth="1"/>
    <col min="2" max="2" width="6.85546875" style="93" customWidth="1"/>
    <col min="3" max="3" width="11.42578125" style="91" customWidth="1"/>
    <col min="4" max="4" width="3" style="91" customWidth="1"/>
    <col min="5" max="5" width="11.42578125" style="91" bestFit="1" customWidth="1"/>
    <col min="6" max="6" width="3" style="91" customWidth="1"/>
    <col min="7" max="7" width="13.140625" style="91" customWidth="1"/>
    <col min="8" max="8" width="3" style="91" customWidth="1"/>
    <col min="9" max="9" width="11.42578125" style="91" customWidth="1"/>
    <col min="10" max="10" width="3" style="91" customWidth="1"/>
    <col min="11" max="11" width="10.85546875" style="91" customWidth="1"/>
    <col min="12" max="12" width="2.85546875" style="91" customWidth="1"/>
    <col min="13" max="13" width="13.140625" style="91" customWidth="1"/>
    <col min="14" max="14" width="3" style="91" customWidth="1"/>
    <col min="15" max="15" width="11.42578125" style="91" customWidth="1"/>
    <col min="16" max="16" width="9.85546875" style="91" customWidth="1"/>
    <col min="17" max="17" width="11.42578125" style="91" customWidth="1"/>
    <col min="18" max="27" width="0" style="91" hidden="1" customWidth="1"/>
    <col min="28" max="28" width="8.42578125" style="91" customWidth="1"/>
    <col min="29" max="16384" width="11.42578125" style="91"/>
  </cols>
  <sheetData>
    <row r="1" spans="1:27" ht="17.45" customHeight="1">
      <c r="A1" s="331" t="s">
        <v>218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</row>
    <row r="2" spans="1:27" ht="16.5" customHeight="1">
      <c r="A2" s="332" t="s">
        <v>219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</row>
    <row r="3" spans="1:27" ht="17.45" customHeight="1">
      <c r="A3" s="332" t="s">
        <v>287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</row>
    <row r="4" spans="1:27" ht="14.85" customHeight="1">
      <c r="A4" s="332" t="s">
        <v>220</v>
      </c>
      <c r="B4" s="332"/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</row>
    <row r="5" spans="1:27" ht="44.25" customHeight="1">
      <c r="A5" s="93"/>
      <c r="C5" s="93" t="s">
        <v>221</v>
      </c>
      <c r="D5" s="93"/>
      <c r="E5" s="93"/>
      <c r="F5" s="93"/>
      <c r="G5" s="93"/>
      <c r="H5" s="93"/>
      <c r="I5" s="93" t="s">
        <v>221</v>
      </c>
      <c r="J5" s="93"/>
      <c r="K5" s="93"/>
      <c r="L5" s="93"/>
      <c r="M5" s="93"/>
      <c r="N5" s="93"/>
      <c r="O5" s="93" t="s">
        <v>221</v>
      </c>
      <c r="R5" s="94"/>
      <c r="S5" s="95" t="s">
        <v>222</v>
      </c>
      <c r="T5" s="95" t="s">
        <v>223</v>
      </c>
      <c r="U5" s="95" t="s">
        <v>224</v>
      </c>
      <c r="V5" s="95" t="s">
        <v>225</v>
      </c>
      <c r="W5" s="95" t="s">
        <v>226</v>
      </c>
      <c r="X5" s="96" t="s">
        <v>227</v>
      </c>
      <c r="Y5" s="96" t="s">
        <v>228</v>
      </c>
      <c r="Z5" s="96" t="s">
        <v>229</v>
      </c>
      <c r="AA5" s="97" t="s">
        <v>230</v>
      </c>
    </row>
    <row r="6" spans="1:27">
      <c r="A6" s="98" t="s">
        <v>231</v>
      </c>
      <c r="C6" s="99">
        <v>38352</v>
      </c>
      <c r="D6" s="99"/>
      <c r="E6" s="100" t="s">
        <v>232</v>
      </c>
      <c r="F6" s="99"/>
      <c r="G6" s="100" t="s">
        <v>233</v>
      </c>
      <c r="H6" s="99"/>
      <c r="I6" s="99">
        <v>38717</v>
      </c>
      <c r="J6" s="99"/>
      <c r="K6" s="100" t="s">
        <v>232</v>
      </c>
      <c r="L6" s="99"/>
      <c r="M6" s="100" t="s">
        <v>233</v>
      </c>
      <c r="N6" s="99"/>
      <c r="O6" s="99">
        <f>I6+365</f>
        <v>39082</v>
      </c>
      <c r="R6" s="90" t="s">
        <v>234</v>
      </c>
      <c r="S6" s="101">
        <v>90000</v>
      </c>
      <c r="T6" s="101">
        <v>19290.3</v>
      </c>
      <c r="U6" s="101">
        <v>21303.4</v>
      </c>
      <c r="V6" s="101">
        <v>29615</v>
      </c>
      <c r="W6" s="101"/>
      <c r="X6" s="101">
        <v>15471.5</v>
      </c>
      <c r="Y6" s="101">
        <v>11134.5</v>
      </c>
      <c r="Z6" s="101"/>
      <c r="AA6" s="101">
        <v>186814.7</v>
      </c>
    </row>
    <row r="7" spans="1:27">
      <c r="R7" s="91" t="s">
        <v>235</v>
      </c>
      <c r="S7" s="101"/>
      <c r="T7" s="101"/>
      <c r="U7" s="101"/>
      <c r="V7" s="101">
        <v>-4951.8</v>
      </c>
      <c r="W7" s="101"/>
      <c r="X7" s="101"/>
      <c r="Y7" s="101"/>
      <c r="Z7" s="101"/>
      <c r="AA7" s="101">
        <v>-4951.8</v>
      </c>
    </row>
    <row r="8" spans="1:27">
      <c r="A8" s="91" t="s">
        <v>188</v>
      </c>
      <c r="B8" s="93" t="s">
        <v>236</v>
      </c>
      <c r="C8" s="102">
        <v>90000</v>
      </c>
      <c r="D8" s="102"/>
      <c r="E8" s="103">
        <v>45000</v>
      </c>
      <c r="F8" s="102"/>
      <c r="G8" s="103">
        <v>0</v>
      </c>
      <c r="H8" s="102"/>
      <c r="I8" s="102">
        <f>SUM(C8:G8)</f>
        <v>135000</v>
      </c>
      <c r="J8" s="102"/>
      <c r="K8" s="103">
        <v>0</v>
      </c>
      <c r="L8" s="102"/>
      <c r="M8" s="103">
        <v>0</v>
      </c>
      <c r="N8" s="102"/>
      <c r="O8" s="102">
        <f>SUM(I8:M8)</f>
        <v>135000</v>
      </c>
      <c r="R8" s="91" t="s">
        <v>237</v>
      </c>
      <c r="S8" s="101"/>
      <c r="T8" s="101"/>
      <c r="U8" s="101">
        <v>10000</v>
      </c>
      <c r="V8" s="101">
        <v>-10000</v>
      </c>
      <c r="W8" s="101"/>
      <c r="X8" s="101"/>
      <c r="Y8" s="101"/>
      <c r="Z8" s="101"/>
      <c r="AA8" s="101">
        <v>0</v>
      </c>
    </row>
    <row r="9" spans="1:27">
      <c r="A9" s="91" t="s">
        <v>238</v>
      </c>
      <c r="C9" s="102">
        <v>23773.4</v>
      </c>
      <c r="D9" s="102"/>
      <c r="E9" s="102">
        <v>3399</v>
      </c>
      <c r="F9" s="102"/>
      <c r="G9" s="103">
        <v>0</v>
      </c>
      <c r="H9" s="102"/>
      <c r="I9" s="102">
        <f>SUM(C9:G9)</f>
        <v>27172.400000000001</v>
      </c>
      <c r="J9" s="102"/>
      <c r="K9" s="102">
        <v>4357.8999999999996</v>
      </c>
      <c r="L9" s="102"/>
      <c r="M9" s="103">
        <v>0</v>
      </c>
      <c r="N9" s="102"/>
      <c r="O9" s="102">
        <f>SUM(I9:M9)</f>
        <v>31530.300000000003</v>
      </c>
      <c r="R9" s="91" t="s">
        <v>239</v>
      </c>
      <c r="S9" s="101"/>
      <c r="T9" s="101"/>
      <c r="U9" s="101"/>
      <c r="V9" s="101"/>
      <c r="W9" s="101"/>
      <c r="X9" s="101"/>
      <c r="Y9" s="101">
        <v>-9.1999999999999993</v>
      </c>
      <c r="Z9" s="101"/>
      <c r="AA9" s="101">
        <v>-9.1999999999999993</v>
      </c>
    </row>
    <row r="10" spans="1:27">
      <c r="A10" s="91" t="s">
        <v>240</v>
      </c>
      <c r="C10" s="102">
        <v>36869.300000000003</v>
      </c>
      <c r="D10" s="102"/>
      <c r="E10" s="102">
        <v>0</v>
      </c>
      <c r="F10" s="102"/>
      <c r="G10" s="103">
        <v>-30000</v>
      </c>
      <c r="H10" s="102"/>
      <c r="I10" s="102">
        <f>SUM(C10:G10)</f>
        <v>6869.3000000000029</v>
      </c>
      <c r="J10" s="102"/>
      <c r="K10" s="102">
        <v>6965.8</v>
      </c>
      <c r="L10" s="102"/>
      <c r="M10" s="103">
        <v>0</v>
      </c>
      <c r="N10" s="102"/>
      <c r="O10" s="102">
        <f>SUM(I10:M10)</f>
        <v>13835.100000000002</v>
      </c>
      <c r="R10" s="91" t="s">
        <v>241</v>
      </c>
      <c r="S10" s="101"/>
      <c r="T10" s="101"/>
      <c r="U10" s="101"/>
      <c r="V10" s="101"/>
      <c r="W10" s="101">
        <v>-139.48961</v>
      </c>
      <c r="X10" s="101"/>
      <c r="Y10" s="101"/>
      <c r="Z10" s="101">
        <v>139.48961</v>
      </c>
      <c r="AA10" s="101"/>
    </row>
    <row r="11" spans="1:27">
      <c r="A11" s="91" t="s">
        <v>242</v>
      </c>
      <c r="C11" s="102">
        <v>26552.400000000001</v>
      </c>
      <c r="D11" s="102"/>
      <c r="E11" s="102">
        <v>56794.9</v>
      </c>
      <c r="F11" s="102"/>
      <c r="G11" s="104">
        <v>-46422.8</v>
      </c>
      <c r="H11" s="102"/>
      <c r="I11" s="102">
        <f>SUM(C11:G11)</f>
        <v>36924.5</v>
      </c>
      <c r="J11" s="102"/>
      <c r="K11" s="102">
        <v>37351.699999999997</v>
      </c>
      <c r="L11" s="102"/>
      <c r="M11" s="102">
        <v>-42238.3</v>
      </c>
      <c r="N11" s="102"/>
      <c r="O11" s="102">
        <f>SUM(I11:M11)</f>
        <v>32037.899999999994</v>
      </c>
      <c r="P11" s="105"/>
      <c r="S11" s="101"/>
      <c r="T11" s="101"/>
      <c r="U11" s="101"/>
      <c r="V11" s="101"/>
      <c r="W11" s="101"/>
      <c r="X11" s="101"/>
      <c r="Y11" s="101"/>
      <c r="Z11" s="101"/>
      <c r="AA11" s="101">
        <v>0</v>
      </c>
    </row>
    <row r="12" spans="1:27" ht="15">
      <c r="A12" s="91" t="s">
        <v>243</v>
      </c>
      <c r="C12" s="106">
        <v>5013.1000000000004</v>
      </c>
      <c r="D12" s="107"/>
      <c r="E12" s="108">
        <v>6745.2</v>
      </c>
      <c r="F12" s="107"/>
      <c r="G12" s="108">
        <v>-3390</v>
      </c>
      <c r="H12" s="107"/>
      <c r="I12" s="102">
        <f>SUM(C12:G12)</f>
        <v>8368.2999999999993</v>
      </c>
      <c r="J12" s="107"/>
      <c r="K12" s="106">
        <v>11121.3</v>
      </c>
      <c r="L12" s="107"/>
      <c r="M12" s="108">
        <v>-12008.2</v>
      </c>
      <c r="N12" s="107"/>
      <c r="O12" s="102">
        <f>SUM(I12:M12)</f>
        <v>7481.3999999999978</v>
      </c>
      <c r="P12" s="105"/>
      <c r="R12" s="91" t="s">
        <v>244</v>
      </c>
      <c r="S12" s="101"/>
      <c r="T12" s="101"/>
      <c r="U12" s="101"/>
      <c r="V12" s="101"/>
      <c r="W12" s="101">
        <v>9432.9257900000375</v>
      </c>
      <c r="X12" s="101"/>
      <c r="Y12" s="101"/>
      <c r="Z12" s="101"/>
      <c r="AA12" s="101"/>
    </row>
    <row r="13" spans="1:27" hidden="1"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5"/>
      <c r="S13" s="101"/>
      <c r="T13" s="101"/>
      <c r="U13" s="101"/>
      <c r="V13" s="101"/>
      <c r="W13" s="101"/>
      <c r="X13" s="101"/>
      <c r="Y13" s="101"/>
      <c r="Z13" s="101"/>
      <c r="AA13" s="101"/>
    </row>
    <row r="14" spans="1:27" ht="20.25" customHeight="1" thickBot="1">
      <c r="C14" s="110">
        <f>SUM(C8:C13)</f>
        <v>182208.2</v>
      </c>
      <c r="D14" s="111"/>
      <c r="E14" s="112">
        <f>SUM(E8:E13)</f>
        <v>111939.09999999999</v>
      </c>
      <c r="F14" s="111"/>
      <c r="G14" s="112">
        <f>SUM(G8:G13)</f>
        <v>-79812.800000000003</v>
      </c>
      <c r="H14" s="111"/>
      <c r="I14" s="112">
        <f>SUM(I8:I13)</f>
        <v>214334.5</v>
      </c>
      <c r="J14" s="111"/>
      <c r="K14" s="110">
        <f>SUM(K8:K11)+K12</f>
        <v>59796.7</v>
      </c>
      <c r="L14" s="111"/>
      <c r="M14" s="112">
        <f>SUM(M8:M11)+M12</f>
        <v>-54246.5</v>
      </c>
      <c r="N14" s="111"/>
      <c r="O14" s="112">
        <f>SUM(O8:O11)+O12-0.03</f>
        <v>219884.66999999998</v>
      </c>
      <c r="S14" s="101"/>
      <c r="T14" s="101"/>
      <c r="U14" s="101"/>
      <c r="V14" s="101"/>
      <c r="W14" s="101"/>
      <c r="X14" s="101"/>
      <c r="Y14" s="101"/>
      <c r="Z14" s="101"/>
      <c r="AA14" s="101"/>
    </row>
    <row r="15" spans="1:27" ht="9.1999999999999993" customHeight="1" thickTop="1"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R15" s="91" t="s">
        <v>245</v>
      </c>
      <c r="S15" s="101">
        <v>90000</v>
      </c>
      <c r="T15" s="101">
        <v>19290.3</v>
      </c>
      <c r="U15" s="101">
        <v>31303.4</v>
      </c>
      <c r="V15" s="101">
        <v>14663.2</v>
      </c>
      <c r="W15" s="101">
        <v>9293.436180000037</v>
      </c>
      <c r="X15" s="101">
        <v>15471.5</v>
      </c>
      <c r="Y15" s="101">
        <v>11125.3</v>
      </c>
      <c r="Z15" s="101">
        <v>139.48961</v>
      </c>
      <c r="AA15" s="101">
        <v>191286.62579000005</v>
      </c>
    </row>
    <row r="16" spans="1:27">
      <c r="A16" s="98" t="s">
        <v>246</v>
      </c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S16" s="101"/>
      <c r="T16" s="101"/>
      <c r="U16" s="101"/>
      <c r="V16" s="101"/>
      <c r="W16" s="101"/>
      <c r="X16" s="101"/>
      <c r="Y16" s="101"/>
      <c r="Z16" s="101"/>
      <c r="AA16" s="101"/>
    </row>
    <row r="17" spans="1:27"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S17" s="101"/>
      <c r="T17" s="101"/>
      <c r="U17" s="101"/>
      <c r="V17" s="101"/>
      <c r="W17" s="101"/>
      <c r="X17" s="101"/>
      <c r="Y17" s="101"/>
      <c r="Z17" s="101"/>
      <c r="AA17" s="101">
        <v>4.78100000473205E-2</v>
      </c>
    </row>
    <row r="18" spans="1:27">
      <c r="A18" s="91" t="s">
        <v>247</v>
      </c>
      <c r="C18" s="102">
        <v>20257.8</v>
      </c>
      <c r="D18" s="102"/>
      <c r="E18" s="102">
        <v>0</v>
      </c>
      <c r="F18" s="102"/>
      <c r="G18" s="103">
        <v>-3094.7</v>
      </c>
      <c r="H18" s="102"/>
      <c r="I18" s="102">
        <f>SUM(C18:G18)</f>
        <v>17163.099999999999</v>
      </c>
      <c r="J18" s="102"/>
      <c r="K18" s="102">
        <v>0</v>
      </c>
      <c r="L18" s="102"/>
      <c r="M18" s="103">
        <v>-793.1</v>
      </c>
      <c r="N18" s="102"/>
      <c r="O18" s="102">
        <f>SUM(I18:M18)</f>
        <v>16369.999999999998</v>
      </c>
      <c r="S18" s="101"/>
      <c r="T18" s="101"/>
      <c r="U18" s="101"/>
      <c r="V18" s="101"/>
      <c r="W18" s="101"/>
      <c r="X18" s="101"/>
      <c r="Y18" s="101"/>
      <c r="Z18" s="101"/>
      <c r="AA18" s="101"/>
    </row>
    <row r="19" spans="1:27">
      <c r="A19" s="91" t="s">
        <v>248</v>
      </c>
      <c r="C19" s="108">
        <v>10348.200000000001</v>
      </c>
      <c r="D19" s="108"/>
      <c r="E19" s="103">
        <v>0</v>
      </c>
      <c r="F19" s="108"/>
      <c r="G19" s="108">
        <v>-608</v>
      </c>
      <c r="H19" s="108"/>
      <c r="I19" s="102">
        <f>SUM(C19:G19)</f>
        <v>9740.2000000000007</v>
      </c>
      <c r="J19" s="108"/>
      <c r="K19" s="103">
        <v>0</v>
      </c>
      <c r="L19" s="108"/>
      <c r="M19" s="108">
        <v>-0.2</v>
      </c>
      <c r="N19" s="108"/>
      <c r="O19" s="102">
        <f>SUM(I19:M19)</f>
        <v>9740</v>
      </c>
    </row>
    <row r="20" spans="1:27">
      <c r="A20" s="91" t="s">
        <v>249</v>
      </c>
      <c r="C20" s="102">
        <v>0</v>
      </c>
      <c r="D20" s="102"/>
      <c r="E20" s="102">
        <v>7.8</v>
      </c>
      <c r="F20" s="102"/>
      <c r="G20" s="103">
        <v>0</v>
      </c>
      <c r="H20" s="102"/>
      <c r="I20" s="102">
        <f>SUM(C20:G20)</f>
        <v>7.8</v>
      </c>
      <c r="J20" s="102"/>
      <c r="K20" s="102">
        <v>0</v>
      </c>
      <c r="L20" s="102"/>
      <c r="M20" s="103">
        <v>-2.7</v>
      </c>
      <c r="N20" s="102"/>
      <c r="O20" s="102">
        <f>SUM(I20:M20)</f>
        <v>5.0999999999999996</v>
      </c>
      <c r="S20" s="101"/>
      <c r="T20" s="101"/>
      <c r="U20" s="101"/>
      <c r="V20" s="101"/>
      <c r="W20" s="101"/>
      <c r="X20" s="101"/>
      <c r="Y20" s="101"/>
      <c r="Z20" s="101"/>
      <c r="AA20" s="101"/>
    </row>
    <row r="21" spans="1:27" ht="15">
      <c r="A21" s="91" t="s">
        <v>250</v>
      </c>
      <c r="C21" s="106">
        <v>7060.5</v>
      </c>
      <c r="D21" s="107"/>
      <c r="E21" s="106">
        <v>6873.6</v>
      </c>
      <c r="F21" s="107"/>
      <c r="G21" s="106">
        <v>-3985.9</v>
      </c>
      <c r="H21" s="107"/>
      <c r="I21" s="102">
        <f>SUM(C21:G21)</f>
        <v>9948.2000000000007</v>
      </c>
      <c r="J21" s="107"/>
      <c r="K21" s="106">
        <v>2857.5</v>
      </c>
      <c r="L21" s="107"/>
      <c r="M21" s="114">
        <v>0</v>
      </c>
      <c r="N21" s="107"/>
      <c r="O21" s="102">
        <f>SUM(I21:M21)</f>
        <v>12805.7</v>
      </c>
    </row>
    <row r="22" spans="1:27" ht="16.5" customHeight="1">
      <c r="C22" s="115">
        <f>SUM(C18:C21)</f>
        <v>37666.5</v>
      </c>
      <c r="D22" s="115"/>
      <c r="E22" s="116">
        <f>SUM(E18:E21)</f>
        <v>6881.4000000000005</v>
      </c>
      <c r="F22" s="115"/>
      <c r="G22" s="117">
        <f>SUM(G18:G21)</f>
        <v>-7688.6</v>
      </c>
      <c r="H22" s="115"/>
      <c r="I22" s="116">
        <f>SUM(I18:I21)</f>
        <v>36859.300000000003</v>
      </c>
      <c r="J22" s="115"/>
      <c r="K22" s="116">
        <f>SUM(K18:K21)</f>
        <v>2857.5</v>
      </c>
      <c r="L22" s="115"/>
      <c r="M22" s="117">
        <f>SUM(M18:M21)</f>
        <v>-796.00000000000011</v>
      </c>
      <c r="N22" s="115"/>
      <c r="O22" s="116">
        <f>SUM(O18:O21)</f>
        <v>38920.800000000003</v>
      </c>
    </row>
    <row r="23" spans="1:27" ht="24.95" customHeight="1" thickBot="1">
      <c r="A23" s="91" t="s">
        <v>251</v>
      </c>
      <c r="B23" s="93" t="s">
        <v>236</v>
      </c>
      <c r="C23" s="112">
        <f>C14+C22</f>
        <v>219874.7</v>
      </c>
      <c r="D23" s="112"/>
      <c r="E23" s="112">
        <f>E14+E22</f>
        <v>118820.49999999999</v>
      </c>
      <c r="F23" s="112"/>
      <c r="G23" s="112">
        <f>G14+G22</f>
        <v>-87501.400000000009</v>
      </c>
      <c r="H23" s="112"/>
      <c r="I23" s="112">
        <f>I14+I22</f>
        <v>251193.8</v>
      </c>
      <c r="J23" s="115"/>
      <c r="K23" s="112">
        <f>K14+K22-0.04</f>
        <v>62654.159999999996</v>
      </c>
      <c r="L23" s="115"/>
      <c r="M23" s="112">
        <f>M14+M22-0.02</f>
        <v>-55042.52</v>
      </c>
      <c r="N23" s="115"/>
      <c r="O23" s="112">
        <f>O14+O22-0.04</f>
        <v>258805.42999999996</v>
      </c>
    </row>
    <row r="24" spans="1:27" ht="13.5" thickTop="1"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</row>
    <row r="25" spans="1:27" ht="19.5" customHeight="1" thickBot="1">
      <c r="A25" s="91" t="s">
        <v>252</v>
      </c>
      <c r="B25" s="93" t="s">
        <v>236</v>
      </c>
      <c r="C25" s="110">
        <f>C23/(C8/(100/8.75))</f>
        <v>27.920596825396828</v>
      </c>
      <c r="D25" s="115"/>
      <c r="E25" s="113"/>
      <c r="F25" s="115"/>
      <c r="G25" s="113"/>
      <c r="H25" s="115"/>
      <c r="I25" s="110">
        <f>(I23)/(I8/(100/8.75))</f>
        <v>21.265083597883596</v>
      </c>
      <c r="J25" s="115"/>
      <c r="K25" s="118"/>
      <c r="L25" s="115"/>
      <c r="N25" s="115"/>
      <c r="O25" s="110">
        <f>(O23)/(O8/(100/8.75))</f>
        <v>21.909454391534389</v>
      </c>
    </row>
    <row r="26" spans="1:27" ht="13.5" thickTop="1"/>
    <row r="27" spans="1:27">
      <c r="C27" s="113"/>
      <c r="D27" s="113"/>
      <c r="E27" s="113"/>
      <c r="F27" s="113"/>
      <c r="G27" s="113"/>
      <c r="H27" s="113"/>
      <c r="I27" s="113"/>
      <c r="J27" s="113"/>
      <c r="L27" s="113"/>
      <c r="N27" s="113"/>
    </row>
    <row r="28" spans="1:27">
      <c r="C28" s="113"/>
      <c r="D28" s="113"/>
      <c r="E28" s="113"/>
      <c r="F28" s="113"/>
      <c r="G28" s="113"/>
      <c r="H28" s="113"/>
      <c r="I28" s="113"/>
      <c r="J28" s="113"/>
      <c r="L28" s="113"/>
      <c r="N28" s="113"/>
    </row>
    <row r="29" spans="1:27">
      <c r="A29" s="119" t="s">
        <v>294</v>
      </c>
      <c r="C29" s="113"/>
      <c r="D29" s="113"/>
      <c r="E29" s="113"/>
      <c r="F29" s="113"/>
      <c r="G29" s="113"/>
      <c r="H29" s="113"/>
      <c r="I29" s="113"/>
      <c r="J29" s="113"/>
      <c r="L29" s="113"/>
      <c r="N29" s="113"/>
    </row>
    <row r="30" spans="1:27">
      <c r="C30" s="113"/>
      <c r="D30" s="113"/>
      <c r="E30" s="113"/>
      <c r="F30" s="113"/>
      <c r="G30" s="113"/>
      <c r="H30" s="113"/>
      <c r="I30" s="113"/>
      <c r="J30" s="113"/>
      <c r="L30" s="113"/>
      <c r="N30" s="113"/>
    </row>
    <row r="31" spans="1:27" customFormat="1" ht="13.15" customHeight="1">
      <c r="A31" s="120" t="s">
        <v>253</v>
      </c>
      <c r="B31" s="8"/>
      <c r="D31" s="8"/>
      <c r="F31" s="121"/>
      <c r="G31" s="122"/>
      <c r="H31" s="123"/>
      <c r="I31" s="123"/>
      <c r="J31" s="123"/>
      <c r="K31" s="122"/>
    </row>
    <row r="32" spans="1:27" customFormat="1" ht="13.15" customHeight="1">
      <c r="A32" s="91"/>
      <c r="B32" s="8"/>
      <c r="D32" s="8"/>
      <c r="F32" s="121"/>
      <c r="G32" s="122"/>
      <c r="H32" s="123"/>
      <c r="I32" s="123"/>
      <c r="J32" s="123"/>
      <c r="K32" s="122"/>
    </row>
    <row r="33" spans="1:11" customFormat="1" ht="13.15" customHeight="1">
      <c r="A33" t="s">
        <v>254</v>
      </c>
      <c r="B33" s="8"/>
      <c r="D33" s="8"/>
      <c r="F33" s="121"/>
      <c r="G33" s="122"/>
      <c r="H33" s="123"/>
      <c r="I33" s="123"/>
      <c r="J33" s="123"/>
      <c r="K33" s="122"/>
    </row>
    <row r="34" spans="1:11" customFormat="1" ht="13.15" customHeight="1">
      <c r="B34" s="8"/>
      <c r="D34" s="8"/>
      <c r="F34" s="121"/>
      <c r="G34" s="122"/>
      <c r="H34" s="123"/>
      <c r="I34" s="123"/>
      <c r="J34" s="123"/>
      <c r="K34" s="122"/>
    </row>
    <row r="35" spans="1:11" customFormat="1">
      <c r="A35" s="124" t="s">
        <v>255</v>
      </c>
      <c r="B35" s="125"/>
      <c r="C35" s="126"/>
      <c r="D35" s="8"/>
      <c r="E35" s="8"/>
      <c r="F35" s="8"/>
      <c r="G35" s="127"/>
      <c r="H35" s="128"/>
    </row>
    <row r="36" spans="1:11" customFormat="1">
      <c r="A36" s="129" t="s">
        <v>256</v>
      </c>
      <c r="B36" s="125"/>
      <c r="C36" s="126"/>
      <c r="D36" s="8"/>
      <c r="E36" s="8"/>
      <c r="F36" s="8"/>
      <c r="G36" s="127"/>
      <c r="H36" s="128"/>
    </row>
    <row r="37" spans="1:11" customFormat="1">
      <c r="A37" s="129"/>
      <c r="B37" s="125"/>
      <c r="C37" s="126"/>
      <c r="D37" s="8"/>
      <c r="E37" s="8"/>
      <c r="F37" s="8"/>
      <c r="G37" s="127"/>
      <c r="H37" s="128"/>
    </row>
    <row r="38" spans="1:11" customFormat="1">
      <c r="A38" s="129"/>
      <c r="B38" s="125"/>
      <c r="C38" s="126"/>
      <c r="D38" s="8"/>
      <c r="E38" s="8"/>
      <c r="F38" s="8"/>
      <c r="G38" s="127"/>
      <c r="H38" s="128"/>
    </row>
    <row r="39" spans="1:11" customFormat="1">
      <c r="A39" s="124" t="s">
        <v>257</v>
      </c>
      <c r="B39" s="125"/>
      <c r="C39" s="126"/>
      <c r="D39" s="8"/>
      <c r="E39" s="8"/>
      <c r="F39" s="8"/>
      <c r="G39" s="127"/>
      <c r="H39" s="128"/>
    </row>
    <row r="40" spans="1:11" customFormat="1">
      <c r="A40" s="129" t="s">
        <v>258</v>
      </c>
      <c r="B40" s="125"/>
      <c r="C40" s="126"/>
      <c r="D40" s="8"/>
      <c r="E40" s="8"/>
      <c r="F40" s="8"/>
      <c r="G40" s="127"/>
      <c r="H40" s="128"/>
    </row>
    <row r="41" spans="1:11" customFormat="1">
      <c r="A41" s="129"/>
      <c r="B41" s="125"/>
      <c r="C41" s="126"/>
      <c r="D41" s="8"/>
      <c r="E41" s="8"/>
      <c r="G41" s="127"/>
      <c r="H41" s="128"/>
    </row>
    <row r="42" spans="1:11" customFormat="1" ht="13.7" customHeight="1">
      <c r="B42" s="125"/>
      <c r="C42" s="126"/>
      <c r="D42" s="8"/>
      <c r="E42" s="8"/>
      <c r="G42" s="127"/>
      <c r="H42" s="128"/>
    </row>
    <row r="43" spans="1:11" customFormat="1">
      <c r="A43" s="124" t="s">
        <v>293</v>
      </c>
      <c r="B43" s="124"/>
      <c r="C43" s="125"/>
      <c r="E43" s="8"/>
      <c r="G43" s="127"/>
      <c r="H43" s="128"/>
    </row>
    <row r="44" spans="1:11" customFormat="1">
      <c r="A44" s="129" t="s">
        <v>288</v>
      </c>
      <c r="B44" s="129"/>
      <c r="C44" s="125"/>
      <c r="E44" s="8"/>
      <c r="G44" s="127"/>
      <c r="H44" s="128"/>
    </row>
    <row r="45" spans="1:11" s="132" customFormat="1" ht="11.25">
      <c r="A45" s="130" t="s">
        <v>292</v>
      </c>
      <c r="B45" s="130"/>
      <c r="C45" s="131"/>
      <c r="H45" s="133"/>
    </row>
    <row r="46" spans="1:11" s="132" customFormat="1" ht="11.25">
      <c r="A46" s="130"/>
      <c r="B46" s="130"/>
      <c r="C46" s="131"/>
      <c r="H46" s="133"/>
    </row>
    <row r="47" spans="1:11" s="130" customFormat="1" ht="11.25">
      <c r="C47" s="134"/>
    </row>
    <row r="48" spans="1:11" customFormat="1" ht="13.15" customHeight="1">
      <c r="A48" s="91"/>
      <c r="B48" s="10"/>
      <c r="C48" s="126"/>
      <c r="E48" s="128"/>
      <c r="F48" s="135"/>
      <c r="G48" s="91"/>
      <c r="H48" s="123"/>
    </row>
  </sheetData>
  <mergeCells count="4">
    <mergeCell ref="A1:O1"/>
    <mergeCell ref="A2:O2"/>
    <mergeCell ref="A3:O3"/>
    <mergeCell ref="A4:O4"/>
  </mergeCells>
  <phoneticPr fontId="0" type="noConversion"/>
  <pageMargins left="0.59055118110236227" right="0.59055118110236227" top="0.59055118110236227" bottom="0.59055118110236227" header="0" footer="0"/>
  <pageSetup scale="83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showGridLines="0" topLeftCell="A41" workbookViewId="0">
      <selection activeCell="B36" sqref="B36"/>
    </sheetView>
  </sheetViews>
  <sheetFormatPr defaultColWidth="11.42578125" defaultRowHeight="12.75"/>
  <cols>
    <col min="1" max="1" width="7.42578125" style="136" customWidth="1"/>
    <col min="2" max="2" width="50.42578125" style="136" customWidth="1"/>
    <col min="3" max="3" width="9.42578125" style="148" customWidth="1"/>
    <col min="4" max="4" width="9.42578125" style="135" customWidth="1"/>
    <col min="5" max="5" width="4.42578125" style="135" customWidth="1"/>
    <col min="6" max="6" width="9.42578125" style="135" customWidth="1"/>
    <col min="7" max="16384" width="11.42578125" style="136"/>
  </cols>
  <sheetData>
    <row r="1" spans="1:6" ht="16.5" customHeight="1">
      <c r="A1" s="331" t="s">
        <v>218</v>
      </c>
      <c r="B1" s="331"/>
      <c r="C1" s="331"/>
      <c r="D1" s="331"/>
      <c r="E1" s="331"/>
      <c r="F1" s="331"/>
    </row>
    <row r="2" spans="1:6" ht="17.45" customHeight="1">
      <c r="A2" s="332" t="s">
        <v>259</v>
      </c>
      <c r="B2" s="332"/>
      <c r="C2" s="332"/>
      <c r="D2" s="332"/>
      <c r="E2" s="332"/>
      <c r="F2" s="332"/>
    </row>
    <row r="3" spans="1:6" ht="15.75" customHeight="1">
      <c r="A3" s="332" t="s">
        <v>287</v>
      </c>
      <c r="B3" s="332"/>
      <c r="C3" s="332"/>
      <c r="D3" s="332"/>
      <c r="E3" s="332"/>
      <c r="F3" s="332"/>
    </row>
    <row r="4" spans="1:6" ht="17.45" customHeight="1">
      <c r="A4" s="332" t="s">
        <v>220</v>
      </c>
      <c r="B4" s="332"/>
      <c r="C4" s="332"/>
      <c r="D4" s="332"/>
      <c r="E4" s="332"/>
      <c r="F4" s="332"/>
    </row>
    <row r="5" spans="1:6" ht="21.75" customHeight="1">
      <c r="A5" s="137"/>
      <c r="B5" s="137"/>
      <c r="C5" s="92"/>
      <c r="D5" s="138" t="s">
        <v>286</v>
      </c>
      <c r="E5" s="139"/>
      <c r="F5" s="138" t="s">
        <v>260</v>
      </c>
    </row>
    <row r="6" spans="1:6" ht="17.45" customHeight="1">
      <c r="A6" s="137" t="s">
        <v>261</v>
      </c>
      <c r="B6" s="137"/>
      <c r="C6" s="92"/>
      <c r="D6" s="140"/>
      <c r="E6" s="140"/>
      <c r="F6" s="140"/>
    </row>
    <row r="7" spans="1:6">
      <c r="A7" s="141" t="s">
        <v>262</v>
      </c>
      <c r="B7" s="137"/>
      <c r="C7" s="92" t="s">
        <v>236</v>
      </c>
      <c r="D7" s="142">
        <v>31236.799999999999</v>
      </c>
      <c r="E7" s="140"/>
      <c r="F7" s="142">
        <v>32526.2</v>
      </c>
    </row>
    <row r="8" spans="1:6">
      <c r="A8" s="141" t="s">
        <v>263</v>
      </c>
      <c r="B8" s="137"/>
      <c r="C8" s="92"/>
      <c r="D8" s="142"/>
      <c r="E8" s="140"/>
      <c r="F8" s="142"/>
    </row>
    <row r="9" spans="1:6">
      <c r="A9" s="143" t="s">
        <v>264</v>
      </c>
      <c r="B9" s="137"/>
      <c r="C9" s="92"/>
      <c r="D9" s="142"/>
      <c r="E9" s="140"/>
      <c r="F9" s="142"/>
    </row>
    <row r="10" spans="1:6">
      <c r="A10" s="137"/>
      <c r="B10" s="137" t="s">
        <v>265</v>
      </c>
      <c r="C10" s="92"/>
      <c r="D10" s="142">
        <v>11965.5</v>
      </c>
      <c r="E10" s="140"/>
      <c r="F10" s="142">
        <v>23096.13</v>
      </c>
    </row>
    <row r="11" spans="1:6" hidden="1">
      <c r="A11" s="137"/>
      <c r="B11" s="137" t="s">
        <v>266</v>
      </c>
      <c r="C11" s="92"/>
      <c r="D11" s="142"/>
      <c r="E11" s="140"/>
      <c r="F11" s="142"/>
    </row>
    <row r="12" spans="1:6">
      <c r="A12" s="137"/>
      <c r="B12" s="137" t="s">
        <v>203</v>
      </c>
      <c r="C12" s="92"/>
      <c r="D12" s="142">
        <v>5244.9</v>
      </c>
      <c r="E12" s="140"/>
      <c r="F12" s="142">
        <v>5464.0028100000009</v>
      </c>
    </row>
    <row r="13" spans="1:6">
      <c r="A13" s="137"/>
      <c r="B13" s="137" t="s">
        <v>267</v>
      </c>
      <c r="C13" s="92"/>
      <c r="D13" s="142">
        <v>-15739.1</v>
      </c>
      <c r="E13" s="140"/>
      <c r="F13" s="142">
        <v>-16581.581760000001</v>
      </c>
    </row>
    <row r="14" spans="1:6">
      <c r="A14" s="137"/>
      <c r="B14" s="137" t="s">
        <v>268</v>
      </c>
      <c r="C14" s="92"/>
      <c r="D14" s="142">
        <v>4553.8999999999996</v>
      </c>
      <c r="E14" s="140"/>
      <c r="F14" s="142">
        <v>5234.0833799999991</v>
      </c>
    </row>
    <row r="15" spans="1:6">
      <c r="A15" s="137"/>
      <c r="B15" s="137" t="s">
        <v>214</v>
      </c>
      <c r="C15" s="92"/>
      <c r="D15" s="142">
        <v>-181800.3</v>
      </c>
      <c r="E15" s="140"/>
      <c r="F15" s="142">
        <v>-240889.8709699999</v>
      </c>
    </row>
    <row r="16" spans="1:6">
      <c r="A16" s="137"/>
      <c r="B16" s="137" t="s">
        <v>41</v>
      </c>
      <c r="C16" s="92"/>
      <c r="D16" s="142">
        <v>-5095.3</v>
      </c>
      <c r="E16" s="140"/>
      <c r="F16" s="142">
        <v>-6432.9707599999938</v>
      </c>
    </row>
    <row r="17" spans="1:6">
      <c r="A17" s="137"/>
      <c r="B17" s="137" t="s">
        <v>269</v>
      </c>
      <c r="C17" s="92"/>
      <c r="D17" s="142">
        <v>62954.2</v>
      </c>
      <c r="E17" s="140"/>
      <c r="F17" s="142">
        <v>72708.086919999943</v>
      </c>
    </row>
    <row r="18" spans="1:6">
      <c r="A18" s="137"/>
      <c r="B18" s="137" t="s">
        <v>180</v>
      </c>
      <c r="C18" s="92"/>
      <c r="D18" s="144">
        <v>8335</v>
      </c>
      <c r="E18" s="140"/>
      <c r="F18" s="144">
        <v>15276.723809999998</v>
      </c>
    </row>
    <row r="19" spans="1:6" hidden="1">
      <c r="A19" s="137"/>
      <c r="B19" s="137"/>
      <c r="C19" s="92"/>
      <c r="D19" s="144"/>
      <c r="E19" s="140"/>
      <c r="F19" s="144"/>
    </row>
    <row r="20" spans="1:6" hidden="1">
      <c r="A20" s="137"/>
      <c r="B20" s="137"/>
      <c r="C20" s="92"/>
      <c r="D20" s="142"/>
      <c r="E20" s="140"/>
      <c r="F20" s="142"/>
    </row>
    <row r="21" spans="1:6" hidden="1">
      <c r="A21" s="137"/>
      <c r="B21" s="137"/>
      <c r="C21" s="92"/>
      <c r="D21" s="144"/>
      <c r="E21" s="140"/>
      <c r="F21" s="144"/>
    </row>
    <row r="22" spans="1:6">
      <c r="A22" s="137"/>
      <c r="B22" s="141" t="s">
        <v>270</v>
      </c>
      <c r="C22" s="92"/>
      <c r="D22" s="144">
        <f>SUM(D7:D21)</f>
        <v>-78344.39999999998</v>
      </c>
      <c r="E22" s="140"/>
      <c r="F22" s="144">
        <f>SUM(F7:F21)</f>
        <v>-109599.19656999997</v>
      </c>
    </row>
    <row r="23" spans="1:6">
      <c r="A23" s="137"/>
      <c r="B23" s="141"/>
      <c r="C23" s="92"/>
      <c r="D23" s="142"/>
      <c r="E23" s="140"/>
      <c r="F23" s="142"/>
    </row>
    <row r="24" spans="1:6">
      <c r="A24" s="137" t="s">
        <v>271</v>
      </c>
      <c r="B24" s="137"/>
      <c r="C24" s="92"/>
      <c r="D24" s="142"/>
      <c r="E24" s="140"/>
      <c r="F24" s="142"/>
    </row>
    <row r="25" spans="1:6">
      <c r="B25" s="137" t="s">
        <v>289</v>
      </c>
      <c r="C25" s="92"/>
      <c r="D25" s="142">
        <v>213235</v>
      </c>
      <c r="E25" s="140"/>
      <c r="F25" s="142">
        <v>6109.1124800000325</v>
      </c>
    </row>
    <row r="26" spans="1:6">
      <c r="B26" s="137" t="s">
        <v>291</v>
      </c>
      <c r="C26" s="92"/>
      <c r="D26" s="142">
        <v>-5552.7</v>
      </c>
      <c r="E26" s="140"/>
      <c r="F26" s="142">
        <v>-2318.0021399999632</v>
      </c>
    </row>
    <row r="27" spans="1:6" hidden="1">
      <c r="A27" s="137"/>
      <c r="B27" s="137" t="s">
        <v>272</v>
      </c>
      <c r="C27" s="92"/>
      <c r="E27" s="140"/>
    </row>
    <row r="28" spans="1:6">
      <c r="B28" s="137" t="s">
        <v>273</v>
      </c>
      <c r="C28" s="92"/>
      <c r="D28" s="145">
        <v>7265.3</v>
      </c>
      <c r="E28" s="140"/>
      <c r="F28" s="145">
        <v>10431.824650000011</v>
      </c>
    </row>
    <row r="29" spans="1:6">
      <c r="A29" s="137"/>
      <c r="B29" s="141" t="s">
        <v>274</v>
      </c>
      <c r="C29" s="92"/>
      <c r="D29" s="144">
        <f>SUM(D25:D28)</f>
        <v>214947.59999999998</v>
      </c>
      <c r="E29" s="140"/>
      <c r="F29" s="144">
        <f>SUM(F25:F28)</f>
        <v>14222.934990000082</v>
      </c>
    </row>
    <row r="30" spans="1:6">
      <c r="A30" s="137"/>
      <c r="B30" s="137"/>
      <c r="C30" s="92"/>
      <c r="D30" s="142"/>
      <c r="E30" s="140"/>
      <c r="F30" s="142"/>
    </row>
    <row r="31" spans="1:6">
      <c r="A31" s="137" t="s">
        <v>275</v>
      </c>
      <c r="B31" s="137"/>
      <c r="C31" s="92"/>
      <c r="D31" s="142"/>
      <c r="E31" s="140"/>
      <c r="F31" s="142"/>
    </row>
    <row r="32" spans="1:6">
      <c r="B32" s="137" t="s">
        <v>276</v>
      </c>
      <c r="C32" s="92"/>
      <c r="D32" s="142">
        <v>-126693.5</v>
      </c>
      <c r="E32" s="140"/>
      <c r="F32" s="142">
        <v>20782.688299999969</v>
      </c>
    </row>
    <row r="33" spans="1:11">
      <c r="B33" s="137" t="s">
        <v>277</v>
      </c>
      <c r="C33" s="92"/>
      <c r="D33" s="142">
        <v>0</v>
      </c>
      <c r="E33" s="140"/>
      <c r="F33" s="142">
        <v>0</v>
      </c>
    </row>
    <row r="34" spans="1:11">
      <c r="B34" s="137" t="s">
        <v>278</v>
      </c>
      <c r="C34" s="92"/>
      <c r="D34" s="142">
        <v>-23625</v>
      </c>
      <c r="E34" s="140"/>
      <c r="F34" s="142">
        <v>-45606.885850000137</v>
      </c>
    </row>
    <row r="35" spans="1:11">
      <c r="B35" s="137" t="s">
        <v>279</v>
      </c>
      <c r="C35" s="92"/>
      <c r="D35" s="142">
        <v>16244.9</v>
      </c>
      <c r="E35" s="140"/>
      <c r="F35" s="142">
        <v>79468.378899999967</v>
      </c>
    </row>
    <row r="36" spans="1:11">
      <c r="A36" s="137"/>
      <c r="B36" s="137" t="s">
        <v>280</v>
      </c>
      <c r="C36" s="92"/>
      <c r="D36" s="142">
        <v>0</v>
      </c>
      <c r="E36" s="140"/>
      <c r="F36" s="142">
        <v>45000.004229999977</v>
      </c>
    </row>
    <row r="37" spans="1:11" hidden="1">
      <c r="A37" s="137"/>
      <c r="B37" s="137" t="s">
        <v>281</v>
      </c>
      <c r="C37" s="92"/>
      <c r="D37" s="144" t="s">
        <v>282</v>
      </c>
      <c r="E37" s="140"/>
      <c r="F37" s="144" t="s">
        <v>282</v>
      </c>
    </row>
    <row r="38" spans="1:11">
      <c r="A38" s="137"/>
      <c r="B38" s="141" t="s">
        <v>283</v>
      </c>
      <c r="C38" s="92"/>
      <c r="D38" s="146">
        <f>SUM(D32:D37)</f>
        <v>-134073.60000000001</v>
      </c>
      <c r="E38" s="140"/>
      <c r="F38" s="146">
        <f>SUM(F32:F37)</f>
        <v>99644.185579999772</v>
      </c>
    </row>
    <row r="39" spans="1:11">
      <c r="A39" s="137"/>
      <c r="B39" s="141"/>
      <c r="C39" s="92"/>
      <c r="D39" s="142"/>
      <c r="E39" s="140"/>
      <c r="F39" s="142"/>
    </row>
    <row r="40" spans="1:11">
      <c r="A40" s="137" t="s">
        <v>290</v>
      </c>
      <c r="B40" s="137"/>
      <c r="C40" s="92"/>
      <c r="D40" s="142">
        <v>2529.6</v>
      </c>
      <c r="E40" s="140"/>
      <c r="F40" s="142">
        <v>4267.9259699999238</v>
      </c>
    </row>
    <row r="41" spans="1:11">
      <c r="A41" s="137" t="s">
        <v>284</v>
      </c>
      <c r="B41" s="137"/>
      <c r="C41" s="92"/>
      <c r="D41" s="144">
        <v>274609.2</v>
      </c>
      <c r="E41" s="140"/>
      <c r="F41" s="144">
        <v>270341.30952999997</v>
      </c>
    </row>
    <row r="42" spans="1:11" ht="18.600000000000001" customHeight="1" thickBot="1">
      <c r="B42" s="137" t="s">
        <v>285</v>
      </c>
      <c r="C42" s="92" t="s">
        <v>236</v>
      </c>
      <c r="D42" s="147">
        <f>SUM(D40:D41)</f>
        <v>277138.8</v>
      </c>
      <c r="E42" s="140"/>
      <c r="F42" s="147">
        <f>SUM(F40:F41)</f>
        <v>274609.23549999989</v>
      </c>
    </row>
    <row r="43" spans="1:11" ht="13.5" thickTop="1">
      <c r="A43" s="137"/>
      <c r="B43" s="137"/>
      <c r="C43" s="92"/>
      <c r="D43" s="140"/>
      <c r="E43" s="140"/>
      <c r="F43" s="140"/>
    </row>
    <row r="44" spans="1:11">
      <c r="A44" s="137"/>
      <c r="B44" s="137"/>
      <c r="C44" s="92"/>
      <c r="D44" s="140"/>
      <c r="E44" s="140"/>
      <c r="F44" s="140"/>
    </row>
    <row r="45" spans="1:11">
      <c r="A45" s="137"/>
      <c r="B45" s="137"/>
      <c r="C45" s="92"/>
      <c r="D45" s="140"/>
      <c r="E45" s="140"/>
      <c r="F45" s="140"/>
    </row>
    <row r="46" spans="1:11" customFormat="1" ht="13.15" customHeight="1">
      <c r="A46" s="120" t="s">
        <v>253</v>
      </c>
      <c r="B46" s="8"/>
      <c r="D46" s="8"/>
      <c r="F46" s="8"/>
      <c r="G46" s="122"/>
      <c r="H46" s="123"/>
      <c r="I46" s="123"/>
      <c r="J46" s="123"/>
      <c r="K46" s="122"/>
    </row>
    <row r="47" spans="1:11" customFormat="1" ht="13.15" customHeight="1">
      <c r="A47" s="136"/>
      <c r="B47" s="8"/>
      <c r="D47" s="8"/>
      <c r="F47" s="8"/>
      <c r="G47" s="122"/>
      <c r="H47" s="123"/>
      <c r="I47" s="123"/>
      <c r="J47" s="123"/>
      <c r="K47" s="122"/>
    </row>
    <row r="48" spans="1:11" customFormat="1" ht="13.15" customHeight="1">
      <c r="A48" t="s">
        <v>254</v>
      </c>
      <c r="B48" s="8"/>
      <c r="D48" s="8"/>
      <c r="F48" s="8"/>
      <c r="G48" s="122"/>
      <c r="H48" s="123"/>
      <c r="I48" s="123"/>
      <c r="J48" s="123"/>
      <c r="K48" s="122"/>
    </row>
    <row r="49" spans="1:11" customFormat="1" ht="13.15" customHeight="1">
      <c r="B49" s="8"/>
      <c r="D49" s="8"/>
      <c r="F49" s="8"/>
      <c r="G49" s="122"/>
      <c r="H49" s="123"/>
      <c r="I49" s="123"/>
      <c r="J49" s="123"/>
      <c r="K49" s="122"/>
    </row>
    <row r="50" spans="1:11" customFormat="1">
      <c r="A50" s="124" t="s">
        <v>255</v>
      </c>
      <c r="B50" s="125"/>
      <c r="C50" s="126"/>
      <c r="D50" s="8"/>
      <c r="E50" s="8"/>
      <c r="F50" s="8"/>
      <c r="G50" s="127"/>
      <c r="H50" s="128"/>
    </row>
    <row r="51" spans="1:11" customFormat="1">
      <c r="A51" s="129" t="s">
        <v>256</v>
      </c>
      <c r="B51" s="125"/>
      <c r="C51" s="126"/>
      <c r="D51" s="8"/>
      <c r="E51" s="8"/>
      <c r="F51" s="8"/>
      <c r="G51" s="127"/>
      <c r="H51" s="128"/>
    </row>
    <row r="52" spans="1:11" customFormat="1">
      <c r="A52" s="129"/>
      <c r="B52" s="125"/>
      <c r="C52" s="126"/>
      <c r="D52" s="8"/>
      <c r="E52" s="8"/>
      <c r="F52" s="8"/>
      <c r="G52" s="127"/>
      <c r="H52" s="128"/>
    </row>
    <row r="53" spans="1:11" customFormat="1">
      <c r="A53" s="129"/>
      <c r="B53" s="125"/>
      <c r="C53" s="126"/>
      <c r="D53" s="8"/>
      <c r="E53" s="8"/>
      <c r="F53" s="8"/>
      <c r="G53" s="127"/>
      <c r="H53" s="128"/>
    </row>
    <row r="54" spans="1:11" customFormat="1">
      <c r="A54" s="124" t="s">
        <v>257</v>
      </c>
      <c r="B54" s="125"/>
      <c r="C54" s="126"/>
      <c r="D54" s="8"/>
      <c r="E54" s="8"/>
      <c r="F54" s="8"/>
      <c r="G54" s="127"/>
      <c r="H54" s="128"/>
    </row>
    <row r="55" spans="1:11" customFormat="1">
      <c r="A55" s="129" t="s">
        <v>258</v>
      </c>
      <c r="B55" s="125"/>
      <c r="C55" s="126"/>
      <c r="D55" s="8"/>
      <c r="E55" s="8"/>
      <c r="F55" s="8"/>
      <c r="G55" s="127"/>
      <c r="H55" s="128"/>
    </row>
    <row r="56" spans="1:11" customFormat="1">
      <c r="A56" s="129"/>
      <c r="B56" s="125"/>
      <c r="C56" s="126"/>
      <c r="D56" s="8"/>
      <c r="E56" s="8"/>
      <c r="G56" s="127"/>
      <c r="H56" s="128"/>
    </row>
    <row r="57" spans="1:11" customFormat="1" ht="13.7" customHeight="1">
      <c r="B57" s="125"/>
      <c r="C57" s="126"/>
      <c r="D57" s="8"/>
      <c r="E57" s="8"/>
      <c r="G57" s="127"/>
      <c r="H57" s="128"/>
    </row>
    <row r="58" spans="1:11" customFormat="1">
      <c r="A58" s="124" t="s">
        <v>293</v>
      </c>
      <c r="B58" s="124"/>
      <c r="C58" s="125"/>
      <c r="E58" s="8"/>
      <c r="G58" s="127"/>
      <c r="H58" s="128"/>
    </row>
    <row r="59" spans="1:11" customFormat="1">
      <c r="A59" s="129" t="s">
        <v>288</v>
      </c>
      <c r="B59" s="129"/>
      <c r="C59" s="125"/>
      <c r="E59" s="8"/>
      <c r="G59" s="127"/>
      <c r="H59" s="128"/>
    </row>
    <row r="60" spans="1:11" s="132" customFormat="1" ht="11.25">
      <c r="A60" s="130" t="s">
        <v>292</v>
      </c>
      <c r="B60" s="130"/>
      <c r="C60" s="131"/>
      <c r="H60" s="133"/>
    </row>
    <row r="61" spans="1:11" s="132" customFormat="1" ht="11.25">
      <c r="A61" s="130"/>
      <c r="B61" s="130"/>
      <c r="C61" s="131"/>
      <c r="H61" s="133"/>
    </row>
    <row r="62" spans="1:11" s="130" customFormat="1" ht="11.25">
      <c r="C62" s="134"/>
    </row>
    <row r="63" spans="1:11" customFormat="1" ht="13.15" customHeight="1">
      <c r="A63" s="91"/>
      <c r="B63" s="10"/>
      <c r="C63" s="126"/>
      <c r="E63" s="128"/>
      <c r="G63" s="91"/>
      <c r="H63" s="123"/>
    </row>
  </sheetData>
  <mergeCells count="4">
    <mergeCell ref="A1:F1"/>
    <mergeCell ref="A2:F2"/>
    <mergeCell ref="A3:F3"/>
    <mergeCell ref="A4:F4"/>
  </mergeCells>
  <phoneticPr fontId="0" type="noConversion"/>
  <pageMargins left="0.88" right="0.75" top="0.43307086614173229" bottom="1" header="0" footer="0"/>
  <pageSetup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4"/>
  <sheetViews>
    <sheetView topLeftCell="E1" workbookViewId="0">
      <selection activeCell="H8" sqref="H8"/>
    </sheetView>
  </sheetViews>
  <sheetFormatPr defaultColWidth="11.42578125" defaultRowHeight="12.75"/>
  <cols>
    <col min="1" max="1" width="49.42578125" style="2" customWidth="1"/>
    <col min="2" max="2" width="15.42578125" style="37" customWidth="1"/>
    <col min="3" max="3" width="1.42578125" style="37" customWidth="1"/>
    <col min="4" max="4" width="15.42578125" style="38" customWidth="1"/>
    <col min="5" max="5" width="1.42578125" style="38" customWidth="1"/>
    <col min="6" max="6" width="15.42578125" style="38" customWidth="1"/>
    <col min="7" max="7" width="1" style="38" customWidth="1"/>
    <col min="8" max="8" width="15.42578125" style="38" customWidth="1"/>
    <col min="9" max="9" width="1" style="38" customWidth="1"/>
    <col min="10" max="10" width="15.42578125" style="38" customWidth="1"/>
    <col min="11" max="11" width="1" style="38" customWidth="1"/>
    <col min="12" max="12" width="15.42578125" style="38" customWidth="1"/>
    <col min="13" max="13" width="1" style="38" customWidth="1"/>
    <col min="14" max="14" width="15.42578125" style="38" customWidth="1"/>
    <col min="15" max="15" width="0.85546875" style="38" customWidth="1"/>
    <col min="16" max="16" width="15.42578125" style="38" customWidth="1"/>
    <col min="17" max="17" width="1" style="38" customWidth="1"/>
    <col min="18" max="18" width="15.42578125" style="38" customWidth="1"/>
    <col min="19" max="19" width="1.42578125" style="38" customWidth="1"/>
    <col min="20" max="20" width="15.42578125" style="38" customWidth="1"/>
    <col min="21" max="21" width="1.140625" style="38" customWidth="1"/>
    <col min="22" max="22" width="15.42578125" style="38" customWidth="1"/>
    <col min="23" max="23" width="1.140625" style="38" customWidth="1"/>
    <col min="24" max="24" width="15.42578125" style="38" customWidth="1"/>
    <col min="25" max="25" width="1.42578125" style="38" customWidth="1"/>
    <col min="26" max="26" width="16.42578125" style="38" customWidth="1"/>
    <col min="27" max="27" width="11.42578125" style="38" customWidth="1"/>
    <col min="28" max="28" width="11.42578125" style="38" hidden="1" customWidth="1"/>
    <col min="29" max="31" width="0" style="38" hidden="1" customWidth="1"/>
    <col min="32" max="32" width="11.42578125" style="38" hidden="1" customWidth="1"/>
    <col min="33" max="35" width="11.42578125" style="38" customWidth="1"/>
    <col min="36" max="16384" width="11.42578125" style="2"/>
  </cols>
  <sheetData>
    <row r="1" spans="1:32" ht="15.75">
      <c r="A1" s="36" t="s">
        <v>173</v>
      </c>
      <c r="Z1" s="48" t="s">
        <v>160</v>
      </c>
    </row>
    <row r="2" spans="1:32">
      <c r="A2" s="4" t="s">
        <v>140</v>
      </c>
    </row>
    <row r="3" spans="1:32">
      <c r="A3" s="4"/>
    </row>
    <row r="4" spans="1:32">
      <c r="A4" s="1" t="s">
        <v>170</v>
      </c>
    </row>
    <row r="5" spans="1:32">
      <c r="A5" s="1"/>
    </row>
    <row r="6" spans="1:32">
      <c r="A6" s="4" t="s">
        <v>0</v>
      </c>
      <c r="B6" s="38"/>
      <c r="C6" s="38"/>
      <c r="D6" s="39"/>
      <c r="E6" s="39"/>
      <c r="F6" s="39"/>
      <c r="G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X6" s="39"/>
      <c r="Y6" s="39"/>
      <c r="Z6" s="39"/>
    </row>
    <row r="7" spans="1:32">
      <c r="A7" s="4"/>
      <c r="B7" s="38"/>
      <c r="C7" s="38"/>
      <c r="D7" s="39"/>
      <c r="E7" s="39"/>
      <c r="F7" s="39"/>
      <c r="G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X7" s="39"/>
      <c r="Y7" s="39"/>
      <c r="Z7" s="39"/>
    </row>
    <row r="8" spans="1:32">
      <c r="A8" s="4" t="s">
        <v>141</v>
      </c>
      <c r="B8" s="38"/>
      <c r="C8" s="38"/>
      <c r="D8" s="39"/>
      <c r="E8" s="39"/>
      <c r="F8" s="39"/>
      <c r="G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X8" s="39"/>
      <c r="Y8" s="39"/>
      <c r="Z8" s="39"/>
    </row>
    <row r="9" spans="1:32" ht="13.5" thickBot="1">
      <c r="A9" s="43"/>
      <c r="B9" s="44"/>
      <c r="C9" s="44"/>
      <c r="D9" s="45"/>
      <c r="E9" s="45"/>
      <c r="F9" s="45"/>
      <c r="G9" s="45"/>
      <c r="H9" s="44"/>
      <c r="I9" s="44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4"/>
      <c r="W9" s="44"/>
      <c r="X9" s="45"/>
      <c r="Y9" s="45"/>
      <c r="Z9" s="45"/>
    </row>
    <row r="10" spans="1:32" ht="13.5" thickTop="1">
      <c r="A10" s="1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</row>
    <row r="11" spans="1:32">
      <c r="A11" s="1"/>
      <c r="B11" s="40"/>
      <c r="C11" s="40"/>
      <c r="D11" s="40"/>
      <c r="E11" s="40"/>
      <c r="F11" s="40"/>
      <c r="G11" s="40"/>
      <c r="H11" s="40" t="s">
        <v>1</v>
      </c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 t="s">
        <v>2</v>
      </c>
      <c r="W11" s="40"/>
      <c r="X11" s="40"/>
      <c r="Y11" s="40"/>
      <c r="Z11" s="40"/>
    </row>
    <row r="12" spans="1:32">
      <c r="A12" s="1"/>
      <c r="B12" s="40" t="s">
        <v>26</v>
      </c>
      <c r="C12" s="40"/>
      <c r="D12" s="40"/>
      <c r="E12" s="40"/>
      <c r="F12" s="40"/>
      <c r="G12" s="40"/>
      <c r="H12" s="40" t="s">
        <v>3</v>
      </c>
      <c r="I12" s="40"/>
      <c r="J12" s="40" t="s">
        <v>4</v>
      </c>
      <c r="K12" s="40"/>
      <c r="L12" s="40"/>
      <c r="M12" s="40"/>
      <c r="N12" s="40" t="s">
        <v>4</v>
      </c>
      <c r="O12" s="40"/>
      <c r="P12" s="40"/>
      <c r="Q12" s="40"/>
      <c r="R12" s="40"/>
      <c r="S12" s="40"/>
      <c r="T12" s="40" t="s">
        <v>5</v>
      </c>
      <c r="U12" s="40"/>
      <c r="V12" s="40" t="s">
        <v>6</v>
      </c>
      <c r="W12" s="40"/>
      <c r="X12" s="40" t="s">
        <v>7</v>
      </c>
      <c r="Y12" s="40"/>
      <c r="Z12" s="40" t="s">
        <v>8</v>
      </c>
      <c r="AB12" s="40" t="s">
        <v>9</v>
      </c>
      <c r="AC12" s="40" t="s">
        <v>10</v>
      </c>
      <c r="AD12" s="40"/>
      <c r="AE12" s="40"/>
      <c r="AF12" s="40"/>
    </row>
    <row r="13" spans="1:32">
      <c r="A13" s="1"/>
      <c r="B13" s="49" t="s">
        <v>172</v>
      </c>
      <c r="C13" s="49"/>
      <c r="D13" s="49" t="s">
        <v>12</v>
      </c>
      <c r="E13" s="49"/>
      <c r="F13" s="49" t="s">
        <v>161</v>
      </c>
      <c r="G13" s="49"/>
      <c r="H13" s="49" t="s">
        <v>11</v>
      </c>
      <c r="I13" s="49"/>
      <c r="J13" s="49" t="s">
        <v>13</v>
      </c>
      <c r="K13" s="49"/>
      <c r="L13" s="49" t="s">
        <v>14</v>
      </c>
      <c r="M13" s="49"/>
      <c r="N13" s="49" t="s">
        <v>15</v>
      </c>
      <c r="O13" s="49"/>
      <c r="P13" s="49" t="s">
        <v>16</v>
      </c>
      <c r="Q13" s="49"/>
      <c r="R13" s="49" t="s">
        <v>17</v>
      </c>
      <c r="S13" s="49"/>
      <c r="T13" s="49" t="s">
        <v>18</v>
      </c>
      <c r="U13" s="49"/>
      <c r="V13" s="49" t="s">
        <v>19</v>
      </c>
      <c r="W13" s="49"/>
      <c r="X13" s="49" t="s">
        <v>20</v>
      </c>
      <c r="Y13" s="49"/>
      <c r="Z13" s="49" t="s">
        <v>21</v>
      </c>
      <c r="AB13" s="40" t="s">
        <v>22</v>
      </c>
      <c r="AC13" s="40" t="s">
        <v>23</v>
      </c>
      <c r="AD13" s="40" t="s">
        <v>24</v>
      </c>
      <c r="AE13" s="40" t="s">
        <v>25</v>
      </c>
      <c r="AF13" s="40" t="s">
        <v>26</v>
      </c>
    </row>
    <row r="14" spans="1:32">
      <c r="A14" s="1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B14" s="40"/>
      <c r="AC14" s="40"/>
      <c r="AD14" s="40"/>
      <c r="AE14" s="40"/>
      <c r="AF14" s="40"/>
    </row>
    <row r="15" spans="1:32">
      <c r="A15" s="1" t="s">
        <v>142</v>
      </c>
      <c r="C15" s="46"/>
      <c r="G15" s="41"/>
    </row>
    <row r="16" spans="1:32">
      <c r="A16" s="4" t="s">
        <v>144</v>
      </c>
      <c r="B16" s="32">
        <f>SUM(D16:F16)</f>
        <v>8011369</v>
      </c>
      <c r="C16" s="34"/>
      <c r="D16" s="32">
        <v>0</v>
      </c>
      <c r="E16" s="34"/>
      <c r="F16" s="32">
        <f>+H16+J16+L16+N16+P16+R16+T16+V16+X16+Z16</f>
        <v>8011369</v>
      </c>
      <c r="G16" s="34"/>
      <c r="H16" s="32">
        <f>+ROUND('[1]ConsolAs '!E8,0)</f>
        <v>8010419</v>
      </c>
      <c r="I16" s="32"/>
      <c r="J16" s="32">
        <f>+ROUND('[1]ConsolAs '!F8,0)</f>
        <v>100</v>
      </c>
      <c r="K16" s="32"/>
      <c r="L16" s="32">
        <f>+ROUND('[1]ConsolAs '!G8,0)</f>
        <v>0</v>
      </c>
      <c r="M16" s="32"/>
      <c r="N16" s="32">
        <f>+ROUND('[1]ConsolAs '!H8,0)</f>
        <v>0</v>
      </c>
      <c r="O16" s="32"/>
      <c r="P16" s="32">
        <f>+ROUND('[1]ConsolAs '!I8,0)</f>
        <v>600</v>
      </c>
      <c r="Q16" s="32"/>
      <c r="R16" s="32">
        <f>+ROUND('[1]ConsolAs '!J8,0)</f>
        <v>250</v>
      </c>
      <c r="S16" s="32"/>
      <c r="T16" s="32">
        <f>+ROUND('[1]ConsolAs '!K8,0)</f>
        <v>0</v>
      </c>
      <c r="U16" s="32"/>
      <c r="V16" s="32">
        <f>+ROUND('[1]ConsolAs '!L8,0)</f>
        <v>0</v>
      </c>
      <c r="W16" s="32"/>
      <c r="X16" s="32">
        <f>+ROUND('[1]ConsolAs '!M8,0)</f>
        <v>0</v>
      </c>
      <c r="Y16" s="32"/>
      <c r="Z16" s="32">
        <f>+ROUND('[1]ConsolAs '!N8,0)</f>
        <v>0</v>
      </c>
    </row>
    <row r="17" spans="1:26">
      <c r="A17" s="30" t="s">
        <v>145</v>
      </c>
      <c r="B17" s="32"/>
      <c r="C17" s="34"/>
      <c r="D17" s="32"/>
      <c r="E17" s="34"/>
      <c r="F17" s="32"/>
      <c r="G17" s="34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spans="1:26">
      <c r="A18" s="5" t="s">
        <v>146</v>
      </c>
      <c r="B18" s="32">
        <f t="shared" ref="B18:B57" si="0">SUM(D18:F18)</f>
        <v>7918939</v>
      </c>
      <c r="C18" s="34"/>
      <c r="D18" s="80">
        <v>-18926</v>
      </c>
      <c r="E18" s="34"/>
      <c r="F18" s="32">
        <f>+H18+J18+L18+N18+P18+R18+T18+V18+X18+Z18</f>
        <v>7937865</v>
      </c>
      <c r="G18" s="34"/>
      <c r="H18" s="32">
        <f>+ROUND('[1]ConsolAs '!E10,0)</f>
        <v>7821103</v>
      </c>
      <c r="I18" s="32"/>
      <c r="J18" s="32">
        <f>+ROUND('[1]ConsolAs '!F10,0)</f>
        <v>5216</v>
      </c>
      <c r="K18" s="32"/>
      <c r="L18" s="32">
        <f>+ROUND('[1]ConsolAs '!G10,0)</f>
        <v>0</v>
      </c>
      <c r="M18" s="32"/>
      <c r="N18" s="32">
        <f>+ROUND('[1]ConsolAs '!H10,0)</f>
        <v>18926</v>
      </c>
      <c r="O18" s="32"/>
      <c r="P18" s="32">
        <f>+ROUND('[1]ConsolAs '!I10,0)</f>
        <v>90702</v>
      </c>
      <c r="Q18" s="32"/>
      <c r="R18" s="32">
        <f>+ROUND('[1]ConsolAs '!J10,0)</f>
        <v>1918</v>
      </c>
      <c r="S18" s="32"/>
      <c r="T18" s="32">
        <f>+ROUND('[1]ConsolAs '!K10,0)</f>
        <v>0</v>
      </c>
      <c r="U18" s="32"/>
      <c r="V18" s="32">
        <f>+ROUND('[1]ConsolAs '!L10,0)</f>
        <v>0</v>
      </c>
      <c r="W18" s="32"/>
      <c r="X18" s="32">
        <f>+ROUND('[1]ConsolAs '!M10,0)</f>
        <v>0</v>
      </c>
      <c r="Y18" s="32"/>
      <c r="Z18" s="32">
        <f>+ROUND('[1]ConsolAs '!N10,0)</f>
        <v>0</v>
      </c>
    </row>
    <row r="19" spans="1:26">
      <c r="A19" s="5" t="s">
        <v>147</v>
      </c>
      <c r="B19" s="32">
        <f t="shared" si="0"/>
        <v>22681598</v>
      </c>
      <c r="C19" s="34"/>
      <c r="D19" s="80">
        <v>-1080190</v>
      </c>
      <c r="E19" s="34"/>
      <c r="F19" s="32">
        <f>+H19+J19+L19+N19+P19+R19+T19+V19+X19+Z19</f>
        <v>23761788</v>
      </c>
      <c r="G19" s="34"/>
      <c r="H19" s="32">
        <f>+ROUND('[1]ConsolAs '!E11,0)</f>
        <v>21912429</v>
      </c>
      <c r="I19" s="32"/>
      <c r="J19" s="32">
        <f>+ROUND('[1]ConsolAs '!F11,0)</f>
        <v>0</v>
      </c>
      <c r="K19" s="32"/>
      <c r="L19" s="32">
        <f>+ROUND('[1]ConsolAs '!G11,0)</f>
        <v>0</v>
      </c>
      <c r="M19" s="32"/>
      <c r="N19" s="32">
        <f>+ROUND('[1]ConsolAs '!H11,0)</f>
        <v>0</v>
      </c>
      <c r="O19" s="32"/>
      <c r="P19" s="32">
        <f>+ROUND('[1]ConsolAs '!I11,0)</f>
        <v>0</v>
      </c>
      <c r="Q19" s="32"/>
      <c r="R19" s="32">
        <f>+ROUND('[1]ConsolAs '!J11,0)</f>
        <v>0</v>
      </c>
      <c r="S19" s="32"/>
      <c r="T19" s="32">
        <f>+ROUND('[1]ConsolAs '!K11,0)</f>
        <v>1675375</v>
      </c>
      <c r="U19" s="32"/>
      <c r="V19" s="32">
        <f>+ROUND('[1]ConsolAs '!L11,0)</f>
        <v>0</v>
      </c>
      <c r="W19" s="32"/>
      <c r="X19" s="32">
        <f>+ROUND('[1]ConsolAs '!M11,0)</f>
        <v>173984</v>
      </c>
      <c r="Y19" s="32"/>
      <c r="Z19" s="32">
        <f>+ROUND('[1]ConsolAs '!N11,0)</f>
        <v>0</v>
      </c>
    </row>
    <row r="20" spans="1:26">
      <c r="A20" s="5" t="s">
        <v>148</v>
      </c>
      <c r="B20" s="32">
        <f t="shared" si="0"/>
        <v>52635878</v>
      </c>
      <c r="C20" s="34"/>
      <c r="D20" s="80">
        <v>0</v>
      </c>
      <c r="E20" s="34"/>
      <c r="F20" s="32">
        <f t="shared" ref="F20:F56" si="1">+H20+J20+L20+N20+P20+R20+T20+V20+X20+Z20</f>
        <v>52635878</v>
      </c>
      <c r="G20" s="34"/>
      <c r="H20" s="32">
        <f>+ROUND('[1]ConsolAs '!E12,0)</f>
        <v>52635878</v>
      </c>
      <c r="I20" s="32"/>
      <c r="J20" s="32">
        <f>+ROUND('[1]ConsolAs '!F12,0)</f>
        <v>0</v>
      </c>
      <c r="K20" s="32"/>
      <c r="L20" s="32">
        <f>+ROUND('[1]ConsolAs '!G12,0)</f>
        <v>0</v>
      </c>
      <c r="M20" s="32"/>
      <c r="N20" s="32">
        <f>+ROUND('[1]ConsolAs '!H12,0)</f>
        <v>0</v>
      </c>
      <c r="O20" s="32"/>
      <c r="P20" s="32">
        <f>+ROUND('[1]ConsolAs '!I12,0)</f>
        <v>0</v>
      </c>
      <c r="Q20" s="32"/>
      <c r="R20" s="32">
        <f>+ROUND('[1]ConsolAs '!J12,0)</f>
        <v>0</v>
      </c>
      <c r="S20" s="32"/>
      <c r="T20" s="32">
        <f>+ROUND('[1]ConsolAs '!K12,0)</f>
        <v>0</v>
      </c>
      <c r="U20" s="32"/>
      <c r="V20" s="32">
        <f>+ROUND('[1]ConsolAs '!L12,0)</f>
        <v>0</v>
      </c>
      <c r="W20" s="32"/>
      <c r="X20" s="32">
        <f>+ROUND('[1]ConsolAs '!M12,0)</f>
        <v>0</v>
      </c>
      <c r="Y20" s="32"/>
      <c r="Z20" s="32">
        <f>+ROUND('[1]ConsolAs '!N12,0)</f>
        <v>0</v>
      </c>
    </row>
    <row r="21" spans="1:26">
      <c r="A21" s="5" t="s">
        <v>149</v>
      </c>
      <c r="B21" s="31">
        <f t="shared" si="0"/>
        <v>29638399</v>
      </c>
      <c r="C21" s="34"/>
      <c r="D21" s="80">
        <v>-42094910</v>
      </c>
      <c r="E21" s="34"/>
      <c r="F21" s="31">
        <f t="shared" si="1"/>
        <v>71733309</v>
      </c>
      <c r="G21" s="34"/>
      <c r="H21" s="32">
        <f>+ROUND('[1]ConsolAs '!E13,0)</f>
        <v>65153309</v>
      </c>
      <c r="I21" s="34"/>
      <c r="J21" s="32">
        <f>+ROUND('[1]ConsolAs '!F13,0)</f>
        <v>0</v>
      </c>
      <c r="K21" s="34"/>
      <c r="L21" s="32">
        <f>+ROUND('[1]ConsolAs '!G13,0)</f>
        <v>0</v>
      </c>
      <c r="M21" s="34"/>
      <c r="N21" s="32">
        <f>+ROUND('[1]ConsolAs '!H13,0)</f>
        <v>0</v>
      </c>
      <c r="O21" s="34"/>
      <c r="P21" s="32">
        <f>+ROUND('[1]ConsolAs '!I13,0)</f>
        <v>0</v>
      </c>
      <c r="Q21" s="34"/>
      <c r="R21" s="32">
        <f>+ROUND('[1]ConsolAs '!J13,0)</f>
        <v>0</v>
      </c>
      <c r="S21" s="34"/>
      <c r="T21" s="32">
        <f>+ROUND('[1]ConsolAs '!K13,0)</f>
        <v>6580000</v>
      </c>
      <c r="U21" s="34"/>
      <c r="V21" s="32">
        <f>+ROUND('[1]ConsolAs '!L13,0)</f>
        <v>0</v>
      </c>
      <c r="W21" s="34"/>
      <c r="X21" s="32">
        <f>+ROUND('[1]ConsolAs '!M13,0)</f>
        <v>0</v>
      </c>
      <c r="Y21" s="34"/>
      <c r="Z21" s="32">
        <f>+ROUND('[1]ConsolAs '!N13,0)</f>
        <v>0</v>
      </c>
    </row>
    <row r="22" spans="1:26">
      <c r="A22" s="1" t="s">
        <v>27</v>
      </c>
      <c r="B22" s="33">
        <f>SUM(B18:B21)</f>
        <v>112874814</v>
      </c>
      <c r="C22" s="34"/>
      <c r="D22" s="81">
        <f t="shared" ref="D22:Z22" si="2">SUM(D18:D21)</f>
        <v>-43194026</v>
      </c>
      <c r="E22" s="34"/>
      <c r="F22" s="33">
        <f t="shared" si="2"/>
        <v>156068840</v>
      </c>
      <c r="G22" s="34"/>
      <c r="H22" s="33">
        <f t="shared" si="2"/>
        <v>147522719</v>
      </c>
      <c r="I22" s="34"/>
      <c r="J22" s="33">
        <f t="shared" si="2"/>
        <v>5216</v>
      </c>
      <c r="K22" s="34"/>
      <c r="L22" s="33">
        <f t="shared" si="2"/>
        <v>0</v>
      </c>
      <c r="M22" s="34"/>
      <c r="N22" s="33">
        <f t="shared" si="2"/>
        <v>18926</v>
      </c>
      <c r="O22" s="34"/>
      <c r="P22" s="33">
        <f t="shared" si="2"/>
        <v>90702</v>
      </c>
      <c r="Q22" s="34"/>
      <c r="R22" s="33">
        <f t="shared" si="2"/>
        <v>1918</v>
      </c>
      <c r="S22" s="34"/>
      <c r="T22" s="33">
        <f t="shared" si="2"/>
        <v>8255375</v>
      </c>
      <c r="U22" s="34"/>
      <c r="V22" s="33">
        <f t="shared" si="2"/>
        <v>0</v>
      </c>
      <c r="W22" s="34"/>
      <c r="X22" s="33">
        <f>SUM(X18:X21)</f>
        <v>173984</v>
      </c>
      <c r="Y22" s="34"/>
      <c r="Z22" s="33">
        <f t="shared" si="2"/>
        <v>0</v>
      </c>
    </row>
    <row r="23" spans="1:26">
      <c r="A23" s="1" t="s">
        <v>158</v>
      </c>
      <c r="B23" s="38"/>
      <c r="C23" s="41"/>
      <c r="E23" s="41"/>
      <c r="G23" s="41"/>
      <c r="I23" s="41"/>
      <c r="K23" s="41"/>
      <c r="M23" s="41"/>
      <c r="O23" s="41"/>
      <c r="Q23" s="41"/>
      <c r="S23" s="41"/>
      <c r="U23" s="41"/>
      <c r="W23" s="41"/>
      <c r="Y23" s="41"/>
    </row>
    <row r="24" spans="1:26">
      <c r="A24" s="1" t="s">
        <v>159</v>
      </c>
      <c r="B24" s="31">
        <f>+B22+B16</f>
        <v>120886183</v>
      </c>
      <c r="C24" s="34"/>
      <c r="D24" s="82">
        <f>+D22+D16</f>
        <v>-43194026</v>
      </c>
      <c r="E24" s="34"/>
      <c r="F24" s="31">
        <f>+F22+F16</f>
        <v>164080209</v>
      </c>
      <c r="G24" s="34"/>
      <c r="H24" s="31">
        <f>+H22+H16</f>
        <v>155533138</v>
      </c>
      <c r="I24" s="34"/>
      <c r="J24" s="31">
        <f>+J22+J16</f>
        <v>5316</v>
      </c>
      <c r="K24" s="34"/>
      <c r="L24" s="31">
        <f>+L22+L16</f>
        <v>0</v>
      </c>
      <c r="M24" s="34"/>
      <c r="N24" s="31">
        <f>+N22+N16</f>
        <v>18926</v>
      </c>
      <c r="O24" s="34"/>
      <c r="P24" s="31">
        <f>+P22+P16</f>
        <v>91302</v>
      </c>
      <c r="Q24" s="34"/>
      <c r="R24" s="31">
        <f>+R22+R16</f>
        <v>2168</v>
      </c>
      <c r="S24" s="34"/>
      <c r="T24" s="31">
        <f>+T22+T16</f>
        <v>8255375</v>
      </c>
      <c r="U24" s="34"/>
      <c r="V24" s="31">
        <f>+V22+V16</f>
        <v>0</v>
      </c>
      <c r="W24" s="34"/>
      <c r="X24" s="31">
        <f>+X22+X16</f>
        <v>173984</v>
      </c>
      <c r="Y24" s="34"/>
      <c r="Z24" s="31">
        <f>+Z22+Z16</f>
        <v>0</v>
      </c>
    </row>
    <row r="25" spans="1:26">
      <c r="A25" s="4"/>
      <c r="B25" s="32"/>
      <c r="C25" s="34"/>
      <c r="D25" s="32"/>
      <c r="E25" s="34"/>
      <c r="F25" s="32"/>
      <c r="G25" s="34"/>
      <c r="H25" s="32"/>
      <c r="I25" s="34"/>
      <c r="J25" s="32"/>
      <c r="K25" s="34"/>
      <c r="L25" s="32"/>
      <c r="M25" s="34"/>
      <c r="N25" s="32"/>
      <c r="O25" s="34"/>
      <c r="P25" s="32"/>
      <c r="Q25" s="34"/>
      <c r="R25" s="32"/>
      <c r="S25" s="34"/>
      <c r="T25" s="32"/>
      <c r="U25" s="34"/>
      <c r="V25" s="32"/>
      <c r="W25" s="34"/>
      <c r="X25" s="32"/>
      <c r="Y25" s="34"/>
      <c r="Z25" s="32"/>
    </row>
    <row r="26" spans="1:26">
      <c r="A26" s="4" t="s">
        <v>28</v>
      </c>
      <c r="B26" s="32">
        <f t="shared" si="0"/>
        <v>44328120</v>
      </c>
      <c r="C26" s="34"/>
      <c r="D26" s="32">
        <v>0</v>
      </c>
      <c r="E26" s="34"/>
      <c r="F26" s="32">
        <f t="shared" si="1"/>
        <v>44328120</v>
      </c>
      <c r="G26" s="34"/>
      <c r="H26" s="32">
        <f>+ROUND('[1]ConsolAs '!E19,0)</f>
        <v>43776689</v>
      </c>
      <c r="I26" s="32"/>
      <c r="J26" s="32">
        <f>+ROUND('[1]ConsolAs '!F19,0)</f>
        <v>0</v>
      </c>
      <c r="K26" s="32"/>
      <c r="L26" s="32">
        <f>+ROUND('[1]ConsolAs '!G19,0)</f>
        <v>0</v>
      </c>
      <c r="M26" s="32"/>
      <c r="N26" s="32">
        <f>+ROUND('[1]ConsolAs '!H19,0)</f>
        <v>12600</v>
      </c>
      <c r="O26" s="32"/>
      <c r="P26" s="32">
        <f>+ROUND('[1]ConsolAs '!I19,0)</f>
        <v>0</v>
      </c>
      <c r="Q26" s="32"/>
      <c r="R26" s="32">
        <f>+ROUND('[1]ConsolAs '!J19,0)</f>
        <v>0</v>
      </c>
      <c r="S26" s="32"/>
      <c r="T26" s="32">
        <f>+ROUND('[1]ConsolAs '!K19,0)</f>
        <v>500000</v>
      </c>
      <c r="U26" s="32"/>
      <c r="V26" s="32">
        <f>+ROUND('[1]ConsolAs '!L19,0)</f>
        <v>0</v>
      </c>
      <c r="W26" s="32"/>
      <c r="X26" s="32">
        <f>+ROUND('[1]ConsolAs '!M19,0)</f>
        <v>0</v>
      </c>
      <c r="Y26" s="32"/>
      <c r="Z26" s="32">
        <v>38831</v>
      </c>
    </row>
    <row r="27" spans="1:26">
      <c r="A27" s="4"/>
      <c r="B27" s="32"/>
      <c r="C27" s="34"/>
      <c r="D27" s="32"/>
      <c r="E27" s="34"/>
      <c r="F27" s="32"/>
      <c r="G27" s="34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spans="1:26">
      <c r="A28" s="4" t="s">
        <v>29</v>
      </c>
      <c r="B28" s="32">
        <f t="shared" si="0"/>
        <v>415640714</v>
      </c>
      <c r="C28" s="34"/>
      <c r="D28" s="80">
        <v>-36842290</v>
      </c>
      <c r="E28" s="34"/>
      <c r="F28" s="32">
        <f t="shared" si="1"/>
        <v>452483004</v>
      </c>
      <c r="G28" s="34"/>
      <c r="H28" s="32">
        <f>+ROUND('[1]ConsolAs '!E21,0)</f>
        <v>369060099</v>
      </c>
      <c r="I28" s="32"/>
      <c r="J28" s="32">
        <v>6690714</v>
      </c>
      <c r="K28" s="32"/>
      <c r="L28" s="32">
        <f>+ROUND('[1]ConsolAs '!G21,0)</f>
        <v>0</v>
      </c>
      <c r="M28" s="32"/>
      <c r="N28" s="32">
        <f>+ROUND('[1]ConsolAs '!H21,0)</f>
        <v>0</v>
      </c>
      <c r="O28" s="32"/>
      <c r="P28" s="32">
        <f>+ROUND('[1]ConsolAs '!I21,0)</f>
        <v>25381187</v>
      </c>
      <c r="Q28" s="32"/>
      <c r="R28" s="32">
        <f>+ROUND('[1]ConsolAs '!J21,0)</f>
        <v>3518516</v>
      </c>
      <c r="S28" s="32"/>
      <c r="T28" s="32">
        <f>+ROUND('[1]ConsolAs '!K21,0)</f>
        <v>43492562</v>
      </c>
      <c r="U28" s="32"/>
      <c r="V28" s="32">
        <f>+ROUND('[1]ConsolAs '!L21,0)</f>
        <v>0</v>
      </c>
      <c r="W28" s="32"/>
      <c r="X28" s="32">
        <f>+ROUND('[1]ConsolAs '!M21,0)</f>
        <v>4339926</v>
      </c>
      <c r="Y28" s="32"/>
      <c r="Z28" s="32">
        <f>+ROUND('[1]ConsolAs '!N21,0)</f>
        <v>0</v>
      </c>
    </row>
    <row r="29" spans="1:26">
      <c r="A29" s="4"/>
      <c r="B29" s="32"/>
      <c r="C29" s="34"/>
      <c r="D29" s="32"/>
      <c r="E29" s="34"/>
      <c r="F29" s="32"/>
      <c r="G29" s="34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spans="1:26">
      <c r="A30" s="4" t="s">
        <v>30</v>
      </c>
      <c r="B30" s="32"/>
      <c r="C30" s="34"/>
      <c r="D30" s="32"/>
      <c r="E30" s="34"/>
      <c r="F30" s="32"/>
      <c r="G30" s="34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spans="1:26">
      <c r="A31" s="5" t="s">
        <v>151</v>
      </c>
      <c r="B31" s="32">
        <f t="shared" si="0"/>
        <v>7529225</v>
      </c>
      <c r="C31" s="34"/>
      <c r="D31" s="32">
        <v>0</v>
      </c>
      <c r="E31" s="34"/>
      <c r="F31" s="32">
        <f t="shared" si="1"/>
        <v>7529225</v>
      </c>
      <c r="G31" s="34"/>
      <c r="H31" s="32">
        <f>+ROUND('[1]ConsolAs '!E24,0)</f>
        <v>6290138</v>
      </c>
      <c r="I31" s="32"/>
      <c r="J31" s="32">
        <f>+ROUND('[1]ConsolAs '!F24,0)</f>
        <v>198716</v>
      </c>
      <c r="K31" s="32"/>
      <c r="L31" s="32">
        <f>+ROUND('[1]ConsolAs '!G24,0)</f>
        <v>0</v>
      </c>
      <c r="M31" s="32"/>
      <c r="N31" s="32">
        <f>+ROUND('[1]ConsolAs '!H24,0)</f>
        <v>0</v>
      </c>
      <c r="O31" s="32"/>
      <c r="P31" s="32">
        <f>+ROUND('[1]ConsolAs '!I24,0)</f>
        <v>1000611</v>
      </c>
      <c r="Q31" s="32"/>
      <c r="R31" s="32">
        <f>+ROUND('[1]ConsolAs '!J24,0)</f>
        <v>39760</v>
      </c>
      <c r="S31" s="32"/>
      <c r="T31" s="32">
        <f>+ROUND('[1]ConsolAs '!K24,0)</f>
        <v>0</v>
      </c>
      <c r="U31" s="32"/>
      <c r="V31" s="32">
        <f>+ROUND('[1]ConsolAs '!L24,0)</f>
        <v>0</v>
      </c>
      <c r="W31" s="32"/>
      <c r="X31" s="32">
        <f>+ROUND('[1]ConsolAs '!M24,0)</f>
        <v>0</v>
      </c>
      <c r="Y31" s="32"/>
      <c r="Z31" s="32">
        <f>+ROUND('[1]ConsolAs '!N24,0)</f>
        <v>0</v>
      </c>
    </row>
    <row r="32" spans="1:26" hidden="1">
      <c r="A32" s="5" t="s">
        <v>31</v>
      </c>
      <c r="B32" s="32">
        <f t="shared" si="0"/>
        <v>0</v>
      </c>
      <c r="C32" s="34"/>
      <c r="D32" s="32">
        <v>0</v>
      </c>
      <c r="E32" s="34"/>
      <c r="F32" s="32">
        <f t="shared" si="1"/>
        <v>0</v>
      </c>
      <c r="G32" s="34"/>
      <c r="H32" s="32">
        <f>+ROUND('[1]ConsolAs '!E25,0)</f>
        <v>0</v>
      </c>
      <c r="I32" s="32"/>
      <c r="J32" s="32">
        <f>+ROUND('[1]ConsolAs '!F25,0)</f>
        <v>0</v>
      </c>
      <c r="K32" s="32"/>
      <c r="L32" s="32">
        <f>+ROUND('[1]ConsolAs '!G25,0)</f>
        <v>0</v>
      </c>
      <c r="M32" s="32"/>
      <c r="N32" s="32">
        <f>+ROUND('[1]ConsolAs '!H25,0)</f>
        <v>0</v>
      </c>
      <c r="O32" s="32"/>
      <c r="P32" s="32">
        <f>+ROUND('[1]ConsolAs '!I25,0)</f>
        <v>0</v>
      </c>
      <c r="Q32" s="32"/>
      <c r="R32" s="32">
        <f>+ROUND('[1]ConsolAs '!J25,0)</f>
        <v>0</v>
      </c>
      <c r="S32" s="32"/>
      <c r="T32" s="32">
        <f>+ROUND('[1]ConsolAs '!K25,0)</f>
        <v>0</v>
      </c>
      <c r="U32" s="32"/>
      <c r="V32" s="32">
        <f>+ROUND('[1]ConsolAs '!L25,0)</f>
        <v>0</v>
      </c>
      <c r="W32" s="32"/>
      <c r="X32" s="32">
        <f>+ROUND('[1]ConsolAs '!M25,0)</f>
        <v>0</v>
      </c>
      <c r="Y32" s="32"/>
      <c r="Z32" s="32">
        <f>+ROUND('[1]ConsolAs '!N25,0)</f>
        <v>0</v>
      </c>
    </row>
    <row r="33" spans="1:26">
      <c r="A33" s="4" t="s">
        <v>32</v>
      </c>
      <c r="B33" s="33">
        <f t="shared" si="0"/>
        <v>408111489</v>
      </c>
      <c r="C33" s="34"/>
      <c r="D33" s="33">
        <f>SUM(D28-D31-D32)</f>
        <v>-36842290</v>
      </c>
      <c r="E33" s="34"/>
      <c r="F33" s="33">
        <f t="shared" si="1"/>
        <v>444953779</v>
      </c>
      <c r="G33" s="34"/>
      <c r="H33" s="33">
        <f>SUM(H28-H31-H32)</f>
        <v>362769961</v>
      </c>
      <c r="I33" s="34"/>
      <c r="J33" s="33">
        <f>SUM(J28-J31-J32)</f>
        <v>6491998</v>
      </c>
      <c r="K33" s="34"/>
      <c r="L33" s="33">
        <f>SUM(L28-L31-L32)</f>
        <v>0</v>
      </c>
      <c r="M33" s="34"/>
      <c r="N33" s="33">
        <f>SUM(N28-N31-N32)</f>
        <v>0</v>
      </c>
      <c r="O33" s="34"/>
      <c r="P33" s="33">
        <f>SUM(P28-P31-P32)</f>
        <v>24380576</v>
      </c>
      <c r="Q33" s="34"/>
      <c r="R33" s="33">
        <f>SUM(R28-R31-R32)</f>
        <v>3478756</v>
      </c>
      <c r="S33" s="34"/>
      <c r="T33" s="33">
        <f>SUM(T28-T31-T32)</f>
        <v>43492562</v>
      </c>
      <c r="U33" s="34"/>
      <c r="V33" s="33">
        <f>SUM(V28-V31-V32)</f>
        <v>0</v>
      </c>
      <c r="W33" s="34"/>
      <c r="X33" s="33">
        <f>SUM(X28-X31-X32)</f>
        <v>4339926</v>
      </c>
      <c r="Y33" s="34"/>
      <c r="Z33" s="33">
        <f>SUM(Z28-Z31-Z32)</f>
        <v>0</v>
      </c>
    </row>
    <row r="34" spans="1:26">
      <c r="A34" s="4"/>
      <c r="B34" s="32"/>
      <c r="C34" s="34"/>
      <c r="D34" s="32"/>
      <c r="E34" s="34"/>
      <c r="F34" s="32"/>
      <c r="G34" s="34"/>
      <c r="H34" s="32"/>
      <c r="I34" s="34"/>
      <c r="J34" s="32"/>
      <c r="K34" s="34"/>
      <c r="L34" s="32"/>
      <c r="M34" s="34"/>
      <c r="N34" s="32"/>
      <c r="O34" s="34"/>
      <c r="P34" s="32"/>
      <c r="Q34" s="34"/>
      <c r="R34" s="32"/>
      <c r="S34" s="34"/>
      <c r="T34" s="32"/>
      <c r="U34" s="34"/>
      <c r="V34" s="32"/>
      <c r="W34" s="34"/>
      <c r="X34" s="32"/>
      <c r="Y34" s="34"/>
      <c r="Z34" s="32"/>
    </row>
    <row r="35" spans="1:26" hidden="1">
      <c r="A35" s="4" t="s">
        <v>33</v>
      </c>
      <c r="B35" s="32">
        <f t="shared" si="0"/>
        <v>0</v>
      </c>
      <c r="C35" s="34"/>
      <c r="D35" s="32">
        <v>0</v>
      </c>
      <c r="E35" s="34"/>
      <c r="F35" s="32">
        <f t="shared" si="1"/>
        <v>0</v>
      </c>
      <c r="G35" s="34"/>
      <c r="H35" s="32">
        <v>0</v>
      </c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1:26" hidden="1">
      <c r="A36" s="4"/>
      <c r="B36" s="32">
        <f t="shared" si="0"/>
        <v>0</v>
      </c>
      <c r="C36" s="34"/>
      <c r="D36" s="32"/>
      <c r="E36" s="34"/>
      <c r="F36" s="32">
        <f t="shared" si="1"/>
        <v>0</v>
      </c>
      <c r="G36" s="34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spans="1:26">
      <c r="A37" s="4" t="s">
        <v>152</v>
      </c>
      <c r="B37" s="32">
        <f t="shared" si="0"/>
        <v>17802202</v>
      </c>
      <c r="C37" s="34"/>
      <c r="D37" s="80">
        <v>-702200</v>
      </c>
      <c r="E37" s="34"/>
      <c r="F37" s="32">
        <f t="shared" si="1"/>
        <v>18504402</v>
      </c>
      <c r="G37" s="34"/>
      <c r="H37" s="32">
        <f>+ROUND('[1]ConsolAs '!E31,0)</f>
        <v>15618675</v>
      </c>
      <c r="I37" s="32"/>
      <c r="J37" s="32">
        <f>+ROUND('[1]ConsolAs '!F31,0)</f>
        <v>0</v>
      </c>
      <c r="K37" s="32"/>
      <c r="L37" s="32">
        <f>+ROUND('[1]ConsolAs '!G31,0)</f>
        <v>0</v>
      </c>
      <c r="M37" s="32"/>
      <c r="N37" s="32">
        <f>+ROUND('[1]ConsolAs '!H31,0)</f>
        <v>0</v>
      </c>
      <c r="O37" s="32"/>
      <c r="P37" s="32">
        <f>+ROUND('[1]ConsolAs '!I31,0)</f>
        <v>2843621</v>
      </c>
      <c r="Q37" s="32"/>
      <c r="R37" s="32">
        <f>+ROUND('[1]ConsolAs '!J31,0)</f>
        <v>0</v>
      </c>
      <c r="S37" s="32"/>
      <c r="T37" s="32">
        <f>+ROUND('[1]ConsolAs '!K31,0)</f>
        <v>42106</v>
      </c>
      <c r="U37" s="32"/>
      <c r="V37" s="32">
        <f>+ROUND('[1]ConsolAs '!L31,0)</f>
        <v>0</v>
      </c>
      <c r="W37" s="32"/>
      <c r="X37" s="32">
        <f>+ROUND('[1]ConsolAs '!M31,0)</f>
        <v>0</v>
      </c>
      <c r="Y37" s="32"/>
      <c r="Z37" s="32">
        <v>0</v>
      </c>
    </row>
    <row r="38" spans="1:26">
      <c r="A38" s="4" t="s">
        <v>153</v>
      </c>
      <c r="B38" s="32">
        <f t="shared" si="0"/>
        <v>3210521</v>
      </c>
      <c r="C38" s="34"/>
      <c r="D38" s="80">
        <v>-5396789</v>
      </c>
      <c r="E38" s="34"/>
      <c r="F38" s="32">
        <f t="shared" si="1"/>
        <v>8607310</v>
      </c>
      <c r="G38" s="34"/>
      <c r="H38" s="32">
        <f>+ROUND('[1]ConsolAs '!E32,0)</f>
        <v>8607310</v>
      </c>
      <c r="I38" s="32"/>
      <c r="J38" s="32">
        <f>+ROUND('[1]ConsolAs '!F32,0)</f>
        <v>0</v>
      </c>
      <c r="K38" s="32"/>
      <c r="L38" s="32">
        <f>+ROUND('[1]ConsolAs '!G32,0)</f>
        <v>0</v>
      </c>
      <c r="M38" s="32"/>
      <c r="N38" s="32">
        <f>+ROUND('[1]ConsolAs '!H32,0)</f>
        <v>0</v>
      </c>
      <c r="O38" s="32"/>
      <c r="P38" s="32">
        <f>+ROUND('[1]ConsolAs '!I32,0)</f>
        <v>0</v>
      </c>
      <c r="Q38" s="32"/>
      <c r="R38" s="32">
        <f>+ROUND('[1]ConsolAs '!J32,0)</f>
        <v>0</v>
      </c>
      <c r="S38" s="32"/>
      <c r="T38" s="32">
        <f>+ROUND('[1]ConsolAs '!K32,0)</f>
        <v>0</v>
      </c>
      <c r="U38" s="32"/>
      <c r="V38" s="32">
        <f>+ROUND('[1]ConsolAs '!L32,0)</f>
        <v>0</v>
      </c>
      <c r="W38" s="32"/>
      <c r="X38" s="32">
        <f>+ROUND('[1]ConsolAs '!M32,0)</f>
        <v>0</v>
      </c>
      <c r="Y38" s="32"/>
      <c r="Z38" s="32">
        <v>0</v>
      </c>
    </row>
    <row r="39" spans="1:26">
      <c r="A39" s="4"/>
      <c r="B39" s="32"/>
      <c r="C39" s="34"/>
      <c r="D39" s="32"/>
      <c r="E39" s="34"/>
      <c r="F39" s="32"/>
      <c r="G39" s="34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spans="1:26">
      <c r="A40" s="30" t="s">
        <v>154</v>
      </c>
      <c r="B40" s="32"/>
      <c r="C40" s="34"/>
      <c r="D40" s="32"/>
      <c r="E40" s="34"/>
      <c r="F40" s="32"/>
      <c r="G40" s="34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spans="1:26">
      <c r="A41" s="4" t="s">
        <v>155</v>
      </c>
      <c r="B41" s="32">
        <f t="shared" si="0"/>
        <v>14011483</v>
      </c>
      <c r="C41" s="34"/>
      <c r="D41" s="32">
        <v>0</v>
      </c>
      <c r="E41" s="34"/>
      <c r="F41" s="32">
        <f t="shared" si="1"/>
        <v>14011483</v>
      </c>
      <c r="G41" s="34"/>
      <c r="H41" s="32">
        <f>+ROUND('[1]ConsolAs '!E36,0)</f>
        <v>12485982</v>
      </c>
      <c r="I41" s="32"/>
      <c r="J41" s="32">
        <f>+ROUND('[1]ConsolAs '!F36,0)</f>
        <v>5280</v>
      </c>
      <c r="K41" s="32"/>
      <c r="L41" s="32">
        <f>+ROUND('[1]ConsolAs '!G36,0)</f>
        <v>307127</v>
      </c>
      <c r="M41" s="32"/>
      <c r="N41" s="32">
        <f>+ROUND('[1]ConsolAs '!H36,0)</f>
        <v>0</v>
      </c>
      <c r="O41" s="32"/>
      <c r="P41" s="32">
        <f>+ROUND('[1]ConsolAs '!I36,0)</f>
        <v>361618</v>
      </c>
      <c r="Q41" s="32"/>
      <c r="R41" s="32">
        <f>+ROUND('[1]ConsolAs '!J36,0)</f>
        <v>14670</v>
      </c>
      <c r="S41" s="32"/>
      <c r="T41" s="32">
        <f>+ROUND('[1]ConsolAs '!K36,0)</f>
        <v>0</v>
      </c>
      <c r="U41" s="32"/>
      <c r="V41" s="32">
        <f>+ROUND('[1]ConsolAs '!L36,0)</f>
        <v>0</v>
      </c>
      <c r="W41" s="32"/>
      <c r="X41" s="32">
        <f>+ROUND('[1]ConsolAs '!M36,0)</f>
        <v>0</v>
      </c>
      <c r="Y41" s="32"/>
      <c r="Z41" s="32">
        <f>+ROUND('[1]ConsolAs '!N36,0)</f>
        <v>836806</v>
      </c>
    </row>
    <row r="42" spans="1:26">
      <c r="A42" s="4"/>
      <c r="B42" s="32"/>
      <c r="C42" s="34"/>
      <c r="D42" s="32"/>
      <c r="E42" s="34"/>
      <c r="F42" s="32"/>
      <c r="G42" s="34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spans="1:26">
      <c r="A43" s="4" t="s">
        <v>34</v>
      </c>
      <c r="B43" s="32"/>
      <c r="C43" s="34"/>
      <c r="D43" s="32"/>
      <c r="E43" s="34"/>
      <c r="F43" s="32"/>
      <c r="G43" s="34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spans="1:26">
      <c r="A44" s="4"/>
      <c r="B44" s="32"/>
      <c r="C44" s="34"/>
      <c r="D44" s="32"/>
      <c r="E44" s="34"/>
      <c r="F44" s="32"/>
      <c r="G44" s="34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spans="1:26">
      <c r="A45" s="5" t="s">
        <v>35</v>
      </c>
      <c r="B45" s="32">
        <f>SUM(D45:F45)</f>
        <v>1309489</v>
      </c>
      <c r="C45" s="34"/>
      <c r="D45" s="32">
        <v>0</v>
      </c>
      <c r="E45" s="34"/>
      <c r="F45" s="32">
        <f>+H45+J45+L45+N45+P45+R45+T45+V45+X45+Z45</f>
        <v>1309489</v>
      </c>
      <c r="G45" s="34"/>
      <c r="H45" s="32">
        <f>+ROUND('[1]ConsolAs '!E40,0)</f>
        <v>1128578</v>
      </c>
      <c r="I45" s="32"/>
      <c r="J45" s="32">
        <f>+ROUND('[1]ConsolAs '!F40,0)</f>
        <v>0</v>
      </c>
      <c r="K45" s="32"/>
      <c r="L45" s="32">
        <f>+ROUND('[1]ConsolAs '!G40,0)</f>
        <v>868</v>
      </c>
      <c r="M45" s="32"/>
      <c r="N45" s="32">
        <f>+ROUND('[1]ConsolAs '!H40,0)</f>
        <v>0</v>
      </c>
      <c r="O45" s="32"/>
      <c r="P45" s="32">
        <f>+ROUND('[1]ConsolAs '!I40,0)</f>
        <v>149135</v>
      </c>
      <c r="Q45" s="32"/>
      <c r="R45" s="32">
        <f>+ROUND('[1]ConsolAs '!J40,0)</f>
        <v>320</v>
      </c>
      <c r="S45" s="32"/>
      <c r="T45" s="32">
        <f>+ROUND('[1]ConsolAs '!K40,0)</f>
        <v>17755</v>
      </c>
      <c r="U45" s="32"/>
      <c r="V45" s="32">
        <f>+ROUND('[1]ConsolAs '!L40,0)</f>
        <v>0</v>
      </c>
      <c r="W45" s="32"/>
      <c r="X45" s="32">
        <f>+ROUND('[1]ConsolAs '!M40,0)</f>
        <v>0</v>
      </c>
      <c r="Y45" s="32"/>
      <c r="Z45" s="32">
        <f>+ROUND('[1]ConsolAs '!N40,0)</f>
        <v>12833</v>
      </c>
    </row>
    <row r="46" spans="1:26">
      <c r="A46" s="5" t="s">
        <v>36</v>
      </c>
      <c r="B46" s="32"/>
      <c r="C46" s="34"/>
      <c r="D46" s="32"/>
      <c r="E46" s="34"/>
      <c r="F46" s="32"/>
      <c r="G46" s="34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spans="1:26">
      <c r="A47" s="6" t="s">
        <v>29</v>
      </c>
      <c r="B47" s="32">
        <f t="shared" si="0"/>
        <v>5203947</v>
      </c>
      <c r="C47" s="34"/>
      <c r="D47" s="80">
        <v>-22741</v>
      </c>
      <c r="E47" s="34"/>
      <c r="F47" s="32">
        <f t="shared" si="1"/>
        <v>5226688</v>
      </c>
      <c r="G47" s="34"/>
      <c r="H47" s="32">
        <f>+ROUND('[1]ConsolAs '!E42,0)</f>
        <v>3818811</v>
      </c>
      <c r="I47" s="32"/>
      <c r="J47" s="32">
        <f>+ROUND('[1]ConsolAs '!F42,0)</f>
        <v>0</v>
      </c>
      <c r="K47" s="32"/>
      <c r="L47" s="32">
        <f>+ROUND('[1]ConsolAs '!G42,0)</f>
        <v>0</v>
      </c>
      <c r="M47" s="32"/>
      <c r="N47" s="32">
        <f>+ROUND('[1]ConsolAs '!H42,0)</f>
        <v>0</v>
      </c>
      <c r="O47" s="32"/>
      <c r="P47" s="32">
        <f>+ROUND('[1]ConsolAs '!I42,0)</f>
        <v>114626</v>
      </c>
      <c r="Q47" s="32"/>
      <c r="R47" s="32">
        <f>+ROUND('[1]ConsolAs '!J42,0)</f>
        <v>0</v>
      </c>
      <c r="S47" s="32"/>
      <c r="T47" s="32">
        <f>+ROUND('[1]ConsolAs '!K42,0)</f>
        <v>1066427</v>
      </c>
      <c r="U47" s="32"/>
      <c r="V47" s="32">
        <f>+ROUND('[1]ConsolAs '!L42,0)</f>
        <v>0</v>
      </c>
      <c r="W47" s="32"/>
      <c r="X47" s="32">
        <f>+ROUND('[1]ConsolAs '!M42,0)-1</f>
        <v>226824</v>
      </c>
      <c r="Y47" s="32"/>
      <c r="Z47" s="32">
        <f>+ROUND('[1]ConsolAs '!N42,0)</f>
        <v>0</v>
      </c>
    </row>
    <row r="48" spans="1:26">
      <c r="A48" s="6" t="s">
        <v>37</v>
      </c>
      <c r="B48" s="32">
        <f t="shared" si="0"/>
        <v>100886</v>
      </c>
      <c r="C48" s="34"/>
      <c r="D48" s="80">
        <v>-443783</v>
      </c>
      <c r="E48" s="34"/>
      <c r="F48" s="32">
        <f t="shared" si="1"/>
        <v>544669</v>
      </c>
      <c r="G48" s="34"/>
      <c r="H48" s="32">
        <f>+ROUND('[1]ConsolAs '!E43,0)</f>
        <v>542861</v>
      </c>
      <c r="I48" s="32"/>
      <c r="J48" s="32">
        <f>+ROUND('[1]ConsolAs '!F43,0)</f>
        <v>0</v>
      </c>
      <c r="K48" s="32"/>
      <c r="L48" s="32">
        <f>+ROUND('[1]ConsolAs '!G43,0)</f>
        <v>0</v>
      </c>
      <c r="M48" s="32"/>
      <c r="N48" s="32">
        <f>+ROUND('[1]ConsolAs '!H43,0)</f>
        <v>0</v>
      </c>
      <c r="O48" s="32"/>
      <c r="P48" s="32">
        <f>+ROUND('[1]ConsolAs '!I43,0)</f>
        <v>0</v>
      </c>
      <c r="Q48" s="32"/>
      <c r="R48" s="32">
        <f>+ROUND('[1]ConsolAs '!J43,0)</f>
        <v>0</v>
      </c>
      <c r="S48" s="32"/>
      <c r="T48" s="32">
        <f>+ROUND('[1]ConsolAs '!K43,0)</f>
        <v>1808</v>
      </c>
      <c r="U48" s="32"/>
      <c r="V48" s="32">
        <f>+ROUND('[1]ConsolAs '!L43,0)</f>
        <v>0</v>
      </c>
      <c r="W48" s="32"/>
      <c r="X48" s="32">
        <f>+ROUND('[1]ConsolAs '!M43,0)</f>
        <v>0</v>
      </c>
      <c r="Y48" s="32"/>
      <c r="Z48" s="32">
        <f>+ROUND('[1]ConsolAs '!N43,0)</f>
        <v>0</v>
      </c>
    </row>
    <row r="49" spans="1:35">
      <c r="A49" s="6" t="s">
        <v>38</v>
      </c>
      <c r="B49" s="32">
        <f t="shared" si="0"/>
        <v>937439</v>
      </c>
      <c r="C49" s="34"/>
      <c r="D49" s="80">
        <v>0</v>
      </c>
      <c r="E49" s="34"/>
      <c r="F49" s="32">
        <f t="shared" si="1"/>
        <v>937439</v>
      </c>
      <c r="G49" s="34"/>
      <c r="H49" s="32">
        <f>+ROUND('[1]ConsolAs '!E44,0)</f>
        <v>917090</v>
      </c>
      <c r="I49" s="32"/>
      <c r="J49" s="32">
        <f>+ROUND('[1]ConsolAs '!F44,0)</f>
        <v>0</v>
      </c>
      <c r="K49" s="32"/>
      <c r="L49" s="32">
        <f>+ROUND('[1]ConsolAs '!G44,0)</f>
        <v>0</v>
      </c>
      <c r="M49" s="32"/>
      <c r="N49" s="32">
        <f>+ROUND('[1]ConsolAs '!H44,0)</f>
        <v>0</v>
      </c>
      <c r="O49" s="32"/>
      <c r="P49" s="32">
        <f>+ROUND('[1]ConsolAs '!I44,0)</f>
        <v>532</v>
      </c>
      <c r="Q49" s="32"/>
      <c r="R49" s="32">
        <f>+ROUND('[1]ConsolAs '!J44,0)</f>
        <v>0</v>
      </c>
      <c r="S49" s="32"/>
      <c r="T49" s="32">
        <f>+ROUND('[1]ConsolAs '!K44,0)</f>
        <v>19817</v>
      </c>
      <c r="U49" s="32"/>
      <c r="V49" s="32">
        <f>+ROUND('[1]ConsolAs '!L44,0)</f>
        <v>0</v>
      </c>
      <c r="W49" s="32"/>
      <c r="X49" s="32">
        <f>+ROUND('[1]ConsolAs '!M44,0)</f>
        <v>0</v>
      </c>
      <c r="Y49" s="32"/>
      <c r="Z49" s="32">
        <f>+ROUND('[1]ConsolAs '!N44,0)</f>
        <v>0</v>
      </c>
    </row>
    <row r="50" spans="1:35">
      <c r="A50" s="5" t="s">
        <v>39</v>
      </c>
      <c r="B50" s="32">
        <f t="shared" si="0"/>
        <v>4722730</v>
      </c>
      <c r="C50" s="34"/>
      <c r="D50" s="80">
        <v>0</v>
      </c>
      <c r="E50" s="34"/>
      <c r="F50" s="32">
        <f t="shared" si="1"/>
        <v>4722730</v>
      </c>
      <c r="G50" s="34"/>
      <c r="H50" s="32">
        <f>+ROUND('[1]ConsolAs '!E45,0)</f>
        <v>4722730</v>
      </c>
      <c r="I50" s="32"/>
      <c r="J50" s="32">
        <f>+ROUND('[1]ConsolAs '!F45,0)</f>
        <v>0</v>
      </c>
      <c r="K50" s="32"/>
      <c r="L50" s="32">
        <f>+ROUND('[1]ConsolAs '!G45,0)</f>
        <v>0</v>
      </c>
      <c r="M50" s="32"/>
      <c r="N50" s="32">
        <f>+ROUND('[1]ConsolAs '!H45,0)</f>
        <v>0</v>
      </c>
      <c r="O50" s="32"/>
      <c r="P50" s="32">
        <f>+ROUND('[1]ConsolAs '!I45,0)</f>
        <v>0</v>
      </c>
      <c r="Q50" s="32"/>
      <c r="R50" s="32">
        <f>+ROUND('[1]ConsolAs '!J45,0)</f>
        <v>0</v>
      </c>
      <c r="S50" s="32"/>
      <c r="T50" s="32">
        <f>+ROUND('[1]ConsolAs '!K45,0)</f>
        <v>0</v>
      </c>
      <c r="U50" s="32"/>
      <c r="V50" s="32">
        <f>+ROUND('[1]ConsolAs '!L45,0)</f>
        <v>0</v>
      </c>
      <c r="W50" s="32"/>
      <c r="X50" s="32">
        <f>+ROUND('[1]ConsolAs '!M45,0)</f>
        <v>0</v>
      </c>
      <c r="Y50" s="32"/>
      <c r="Z50" s="32">
        <f>+ROUND('[1]ConsolAs '!N45,0)</f>
        <v>0</v>
      </c>
    </row>
    <row r="51" spans="1:35">
      <c r="A51" s="5" t="s">
        <v>40</v>
      </c>
      <c r="B51" s="32">
        <f>SUM(D51:F51)</f>
        <v>8333297</v>
      </c>
      <c r="C51" s="34"/>
      <c r="D51" s="80">
        <v>-158710</v>
      </c>
      <c r="E51" s="34"/>
      <c r="F51" s="32">
        <f>+H51+J51+L51+N51+P51+R51+T51+V51+X51+Z51</f>
        <v>8492007</v>
      </c>
      <c r="G51" s="34"/>
      <c r="H51" s="32">
        <f>+ROUND('[1]ConsolAs '!E46,0)</f>
        <v>7176424</v>
      </c>
      <c r="I51" s="32"/>
      <c r="J51" s="32">
        <f>+ROUND('[1]ConsolAs '!F46,0)</f>
        <v>372599</v>
      </c>
      <c r="K51" s="32"/>
      <c r="L51" s="32">
        <f>+ROUND('[1]ConsolAs '!G46,0)</f>
        <v>52500</v>
      </c>
      <c r="M51" s="32"/>
      <c r="N51" s="32">
        <f>+ROUND('[1]ConsolAs '!H46,0)</f>
        <v>65</v>
      </c>
      <c r="O51" s="32"/>
      <c r="P51" s="32">
        <f>+ROUND('[1]ConsolAs '!I46,0)</f>
        <v>360101</v>
      </c>
      <c r="Q51" s="32"/>
      <c r="R51" s="32">
        <f>+ROUND('[1]ConsolAs '!J46,0)</f>
        <v>137997</v>
      </c>
      <c r="S51" s="32"/>
      <c r="T51" s="32">
        <f>+ROUND('[1]ConsolAs '!K46,0)</f>
        <v>0</v>
      </c>
      <c r="U51" s="32"/>
      <c r="V51" s="32">
        <f>+ROUND('[1]ConsolAs '!L46,0)</f>
        <v>50000</v>
      </c>
      <c r="W51" s="32"/>
      <c r="X51" s="32">
        <f>+ROUND('[1]ConsolAs '!M46,0)</f>
        <v>0</v>
      </c>
      <c r="Y51" s="32"/>
      <c r="Z51" s="32">
        <f>+ROUND('[1]ConsolAs '!N46,0)</f>
        <v>342321</v>
      </c>
    </row>
    <row r="52" spans="1:35">
      <c r="A52" s="5" t="s">
        <v>174</v>
      </c>
      <c r="B52" s="32">
        <f t="shared" si="0"/>
        <v>3621558</v>
      </c>
      <c r="C52" s="34"/>
      <c r="D52" s="80">
        <v>0</v>
      </c>
      <c r="E52" s="34"/>
      <c r="F52" s="32">
        <f t="shared" si="1"/>
        <v>3621558</v>
      </c>
      <c r="G52" s="34"/>
      <c r="H52" s="32">
        <f>+ROUND('[1]ConsolAs '!E47,0)</f>
        <v>3132120</v>
      </c>
      <c r="I52" s="32"/>
      <c r="J52" s="32">
        <f>+ROUND('[1]ConsolAs '!F47,0)</f>
        <v>447845</v>
      </c>
      <c r="K52" s="32"/>
      <c r="L52" s="32">
        <f>+ROUND('[1]ConsolAs '!G47,0)</f>
        <v>0</v>
      </c>
      <c r="M52" s="32"/>
      <c r="N52" s="32">
        <f>+ROUND('[1]ConsolAs '!H47,0)</f>
        <v>0</v>
      </c>
      <c r="O52" s="32"/>
      <c r="P52" s="32">
        <f>+ROUND('[1]ConsolAs '!I47,0)</f>
        <v>0</v>
      </c>
      <c r="Q52" s="32"/>
      <c r="R52" s="32">
        <f>+ROUND('[1]ConsolAs '!J47,0)</f>
        <v>41593</v>
      </c>
      <c r="S52" s="32"/>
      <c r="T52" s="32">
        <f>+ROUND('[1]ConsolAs '!K47,0)</f>
        <v>0</v>
      </c>
      <c r="U52" s="32"/>
      <c r="V52" s="32">
        <f>+ROUND('[1]ConsolAs '!L47,0)</f>
        <v>0</v>
      </c>
      <c r="W52" s="32"/>
      <c r="X52" s="32">
        <f>+ROUND('[1]ConsolAs '!M47,0)</f>
        <v>0</v>
      </c>
      <c r="Y52" s="32"/>
      <c r="Z52" s="32">
        <f>+ROUND('[1]ConsolAs '!N47,0)</f>
        <v>0</v>
      </c>
    </row>
    <row r="53" spans="1:35">
      <c r="A53" s="5" t="s">
        <v>56</v>
      </c>
      <c r="B53" s="32">
        <f t="shared" si="0"/>
        <v>2183475</v>
      </c>
      <c r="C53" s="34"/>
      <c r="D53" s="80">
        <v>0</v>
      </c>
      <c r="E53" s="34"/>
      <c r="F53" s="32">
        <f t="shared" si="1"/>
        <v>2183475</v>
      </c>
      <c r="G53" s="34"/>
      <c r="H53" s="32">
        <f>+ROUND('[1]ConsolAs '!E48,0)</f>
        <v>1824140</v>
      </c>
      <c r="I53" s="32"/>
      <c r="J53" s="32">
        <f>+ROUND('[1]ConsolAs '!F48,0)</f>
        <v>57628</v>
      </c>
      <c r="K53" s="32"/>
      <c r="L53" s="32">
        <f>+ROUND('[1]ConsolAs '!G48,0)</f>
        <v>0</v>
      </c>
      <c r="M53" s="32"/>
      <c r="N53" s="32">
        <f>+ROUND('[1]ConsolAs '!H48,0)</f>
        <v>0</v>
      </c>
      <c r="O53" s="32"/>
      <c r="P53" s="32">
        <f>+ROUND('[1]ConsolAs '!I48,0)</f>
        <v>290177</v>
      </c>
      <c r="Q53" s="32"/>
      <c r="R53" s="32">
        <f>+ROUND('[1]ConsolAs '!J48,0)</f>
        <v>11530</v>
      </c>
      <c r="S53" s="32"/>
      <c r="T53" s="32">
        <f>+ROUND('[1]ConsolAs '!K48,0)</f>
        <v>0</v>
      </c>
      <c r="U53" s="32"/>
      <c r="V53" s="32">
        <f>+ROUND('[1]ConsolAs '!L48,0)</f>
        <v>0</v>
      </c>
      <c r="W53" s="32"/>
      <c r="X53" s="32">
        <f>+ROUND('[1]ConsolAs '!M48,0)</f>
        <v>0</v>
      </c>
      <c r="Y53" s="32"/>
      <c r="Z53" s="32">
        <f>+ROUND('[1]ConsolAs '!N48,0)</f>
        <v>0</v>
      </c>
    </row>
    <row r="54" spans="1:35">
      <c r="A54" s="5" t="s">
        <v>175</v>
      </c>
      <c r="B54" s="32">
        <f t="shared" si="0"/>
        <v>3260493</v>
      </c>
      <c r="C54" s="34"/>
      <c r="D54" s="80">
        <v>0</v>
      </c>
      <c r="E54" s="34"/>
      <c r="F54" s="32">
        <f t="shared" si="1"/>
        <v>3260493</v>
      </c>
      <c r="G54" s="34"/>
      <c r="H54" s="32">
        <v>3260493</v>
      </c>
      <c r="I54" s="32"/>
      <c r="J54" s="32">
        <v>0</v>
      </c>
      <c r="K54" s="32"/>
      <c r="L54" s="32">
        <v>0</v>
      </c>
      <c r="M54" s="32"/>
      <c r="N54" s="32">
        <v>0</v>
      </c>
      <c r="O54" s="32"/>
      <c r="P54" s="32">
        <v>0</v>
      </c>
      <c r="Q54" s="32"/>
      <c r="R54" s="32">
        <v>0</v>
      </c>
      <c r="S54" s="32"/>
      <c r="T54" s="32">
        <v>0</v>
      </c>
      <c r="U54" s="32"/>
      <c r="V54" s="32">
        <v>0</v>
      </c>
      <c r="W54" s="32"/>
      <c r="X54" s="32">
        <v>0</v>
      </c>
      <c r="Y54" s="32"/>
      <c r="Z54" s="32">
        <v>0</v>
      </c>
    </row>
    <row r="55" spans="1:35" s="7" customFormat="1">
      <c r="A55" s="5" t="s">
        <v>41</v>
      </c>
      <c r="B55" s="32">
        <f t="shared" si="0"/>
        <v>567127</v>
      </c>
      <c r="C55" s="34"/>
      <c r="D55" s="80">
        <v>0</v>
      </c>
      <c r="E55" s="34"/>
      <c r="F55" s="32">
        <f t="shared" si="1"/>
        <v>567127</v>
      </c>
      <c r="G55" s="34"/>
      <c r="H55" s="32">
        <v>293982</v>
      </c>
      <c r="I55" s="34"/>
      <c r="J55" s="32">
        <f>+ROUND('[1]ConsolAs '!F49,0)</f>
        <v>0</v>
      </c>
      <c r="K55" s="34"/>
      <c r="L55" s="32">
        <f>+ROUND('[1]ConsolAs '!G49,0)</f>
        <v>0</v>
      </c>
      <c r="M55" s="34"/>
      <c r="N55" s="32">
        <f>+ROUND('[1]ConsolAs '!H49,0)</f>
        <v>225100</v>
      </c>
      <c r="O55" s="34"/>
      <c r="P55" s="32">
        <f>+ROUND('[1]ConsolAs '!I49,0)</f>
        <v>16865</v>
      </c>
      <c r="Q55" s="34"/>
      <c r="R55" s="32">
        <f>+ROUND('[1]ConsolAs '!J49,0)</f>
        <v>1000</v>
      </c>
      <c r="S55" s="34"/>
      <c r="T55" s="32">
        <f>+ROUND('[1]ConsolAs '!K49,0)</f>
        <v>0</v>
      </c>
      <c r="U55" s="34"/>
      <c r="V55" s="32">
        <f>+ROUND('[1]ConsolAs '!L49,0)</f>
        <v>0</v>
      </c>
      <c r="W55" s="34"/>
      <c r="X55" s="32">
        <f>+ROUND('[1]ConsolAs '!M49,0)</f>
        <v>0</v>
      </c>
      <c r="Y55" s="34"/>
      <c r="Z55" s="32">
        <f>+ROUND('[1]ConsolAs '!N49,0)+1</f>
        <v>30180</v>
      </c>
      <c r="AA55" s="41"/>
      <c r="AB55" s="41"/>
      <c r="AC55" s="41"/>
      <c r="AD55" s="41"/>
      <c r="AE55" s="41"/>
      <c r="AF55" s="41"/>
      <c r="AG55" s="41"/>
      <c r="AH55" s="41"/>
      <c r="AI55" s="41"/>
    </row>
    <row r="56" spans="1:35">
      <c r="A56" s="1" t="s">
        <v>42</v>
      </c>
      <c r="B56" s="33">
        <f t="shared" si="0"/>
        <v>30240441</v>
      </c>
      <c r="C56" s="34"/>
      <c r="D56" s="81">
        <f>SUM(D47:D55)</f>
        <v>-625234</v>
      </c>
      <c r="E56" s="34"/>
      <c r="F56" s="33">
        <f t="shared" si="1"/>
        <v>30865675</v>
      </c>
      <c r="G56" s="34"/>
      <c r="H56" s="33">
        <f>SUM(H45:H55)</f>
        <v>26817229</v>
      </c>
      <c r="I56" s="34"/>
      <c r="J56" s="33">
        <f t="shared" ref="J56:Z56" si="3">SUM(J45:J55)</f>
        <v>878072</v>
      </c>
      <c r="K56" s="34"/>
      <c r="L56" s="33">
        <f t="shared" si="3"/>
        <v>53368</v>
      </c>
      <c r="M56" s="34"/>
      <c r="N56" s="33">
        <f t="shared" si="3"/>
        <v>225165</v>
      </c>
      <c r="O56" s="34"/>
      <c r="P56" s="33">
        <f t="shared" si="3"/>
        <v>931436</v>
      </c>
      <c r="Q56" s="34"/>
      <c r="R56" s="33">
        <f t="shared" si="3"/>
        <v>192440</v>
      </c>
      <c r="S56" s="34"/>
      <c r="T56" s="33">
        <f t="shared" si="3"/>
        <v>1105807</v>
      </c>
      <c r="U56" s="34"/>
      <c r="V56" s="33">
        <f t="shared" si="3"/>
        <v>50000</v>
      </c>
      <c r="W56" s="34"/>
      <c r="X56" s="33">
        <f t="shared" si="3"/>
        <v>226824</v>
      </c>
      <c r="Y56" s="34"/>
      <c r="Z56" s="33">
        <f t="shared" si="3"/>
        <v>385334</v>
      </c>
    </row>
    <row r="57" spans="1:35" ht="13.5" thickBot="1">
      <c r="A57" s="1" t="s">
        <v>43</v>
      </c>
      <c r="B57" s="42">
        <f t="shared" si="0"/>
        <v>638590439</v>
      </c>
      <c r="C57" s="34"/>
      <c r="D57" s="83">
        <f>+D56+D41+D38+D37+D35+D33+D26+D24</f>
        <v>-86760539</v>
      </c>
      <c r="E57" s="34"/>
      <c r="F57" s="42">
        <f>SUM(F56+F41+F38+F33+F26+F24+F37+F35)</f>
        <v>725350978</v>
      </c>
      <c r="G57" s="34"/>
      <c r="H57" s="42">
        <f>SUM(H56+H41+H38+H33+H26+H24+H37+H35)</f>
        <v>625608984</v>
      </c>
      <c r="I57" s="34"/>
      <c r="J57" s="42">
        <f>SUM(J56+J41+J38+J33+J26+J24+J37+J35)</f>
        <v>7380666</v>
      </c>
      <c r="K57" s="34"/>
      <c r="L57" s="42">
        <f>SUM(L56+L41+L38+L33+L26+L24+L37+L35)</f>
        <v>360495</v>
      </c>
      <c r="M57" s="34"/>
      <c r="N57" s="42">
        <f>SUM(N56+N41+N38+N33+N26+N24+N37+N35)</f>
        <v>256691</v>
      </c>
      <c r="O57" s="34"/>
      <c r="P57" s="42">
        <f>SUM(P56+P41+P38+P33+P26+P24+P37+P35)</f>
        <v>28608553</v>
      </c>
      <c r="Q57" s="34"/>
      <c r="R57" s="42">
        <f>SUM(R56+R41+R38+R33+R26+R24+R37+R35)</f>
        <v>3688034</v>
      </c>
      <c r="S57" s="34"/>
      <c r="T57" s="42">
        <f>SUM(T56+T41+T38+T33+T26+T24+T37+T35)</f>
        <v>53395850</v>
      </c>
      <c r="U57" s="34"/>
      <c r="V57" s="42">
        <f>SUM(V56+V41+V38+V33+V26+V24+V37+V35)</f>
        <v>50000</v>
      </c>
      <c r="W57" s="34"/>
      <c r="X57" s="42">
        <f>SUM(X56+X41+X38+X33+X26+X24+X37+X35)</f>
        <v>4740734</v>
      </c>
      <c r="Y57" s="34"/>
      <c r="Z57" s="42">
        <f>SUM(Z56+Z41+Z38+Z33+Z26+Z24+Z37+Z35)</f>
        <v>1260971</v>
      </c>
      <c r="AB57" s="38">
        <f>+H57+P57+T57</f>
        <v>707613387</v>
      </c>
      <c r="AC57" s="38">
        <f>+N57</f>
        <v>256691</v>
      </c>
      <c r="AD57" s="38">
        <f>+J57+L57+R57+V57+X57+Z57</f>
        <v>17480900</v>
      </c>
      <c r="AE57" s="38">
        <f>+D57</f>
        <v>-86760539</v>
      </c>
      <c r="AF57" s="38">
        <f>SUM(AB57:AE57)</f>
        <v>638590439</v>
      </c>
    </row>
    <row r="58" spans="1:35" ht="13.5" thickTop="1">
      <c r="A58" s="4"/>
      <c r="B58" s="32"/>
      <c r="C58" s="34"/>
      <c r="D58" s="32"/>
      <c r="E58" s="34"/>
      <c r="F58" s="32"/>
      <c r="G58" s="34"/>
      <c r="H58" s="32"/>
      <c r="I58" s="34"/>
      <c r="J58" s="32"/>
      <c r="K58" s="34"/>
      <c r="L58" s="32"/>
      <c r="M58" s="34"/>
      <c r="N58" s="32"/>
      <c r="O58" s="34"/>
      <c r="P58" s="32"/>
      <c r="Q58" s="34"/>
      <c r="R58" s="32"/>
      <c r="S58" s="34"/>
      <c r="T58" s="32"/>
      <c r="U58" s="34"/>
      <c r="V58" s="32"/>
      <c r="W58" s="34"/>
      <c r="X58" s="32"/>
      <c r="Y58" s="34"/>
      <c r="Z58" s="32"/>
    </row>
    <row r="59" spans="1:35">
      <c r="A59" s="4"/>
      <c r="B59" s="38"/>
      <c r="C59" s="41"/>
      <c r="E59" s="41"/>
      <c r="G59" s="41"/>
    </row>
    <row r="60" spans="1:35">
      <c r="A60" s="4"/>
      <c r="B60" s="38"/>
      <c r="C60" s="41"/>
      <c r="G60" s="41"/>
    </row>
    <row r="61" spans="1:35">
      <c r="A61" s="4"/>
      <c r="B61" s="38"/>
      <c r="C61" s="41"/>
      <c r="G61" s="41"/>
    </row>
    <row r="62" spans="1:35">
      <c r="A62" s="4"/>
      <c r="B62" s="38"/>
      <c r="C62" s="41"/>
      <c r="G62" s="41"/>
    </row>
    <row r="63" spans="1:35">
      <c r="A63" s="4"/>
      <c r="B63" s="38"/>
      <c r="C63" s="38"/>
      <c r="G63" s="41"/>
    </row>
    <row r="64" spans="1:35">
      <c r="B64" s="38"/>
      <c r="C64" s="38"/>
      <c r="G64" s="41"/>
    </row>
    <row r="65" spans="7:7">
      <c r="G65" s="41"/>
    </row>
    <row r="66" spans="7:7">
      <c r="G66" s="41"/>
    </row>
    <row r="67" spans="7:7">
      <c r="G67" s="41"/>
    </row>
    <row r="68" spans="7:7">
      <c r="G68" s="41"/>
    </row>
    <row r="69" spans="7:7">
      <c r="G69" s="41"/>
    </row>
    <row r="70" spans="7:7">
      <c r="G70" s="41"/>
    </row>
    <row r="71" spans="7:7">
      <c r="G71" s="41"/>
    </row>
    <row r="72" spans="7:7">
      <c r="G72" s="41"/>
    </row>
    <row r="73" spans="7:7">
      <c r="G73" s="41"/>
    </row>
    <row r="74" spans="7:7">
      <c r="G74" s="41"/>
    </row>
    <row r="75" spans="7:7">
      <c r="G75" s="41"/>
    </row>
    <row r="76" spans="7:7">
      <c r="G76" s="41"/>
    </row>
    <row r="77" spans="7:7">
      <c r="G77" s="41"/>
    </row>
    <row r="78" spans="7:7">
      <c r="G78" s="41"/>
    </row>
    <row r="79" spans="7:7">
      <c r="G79" s="41"/>
    </row>
    <row r="80" spans="7:7">
      <c r="G80" s="41"/>
    </row>
    <row r="81" spans="1:26">
      <c r="G81" s="41"/>
    </row>
    <row r="82" spans="1:26">
      <c r="G82" s="41"/>
    </row>
    <row r="83" spans="1:26" ht="13.5" thickBot="1">
      <c r="A83" s="35"/>
      <c r="B83" s="47"/>
      <c r="C83" s="47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</row>
    <row r="84" spans="1:26" ht="13.5" thickTop="1">
      <c r="G84" s="41"/>
    </row>
  </sheetData>
  <protectedRanges>
    <protectedRange password="CF7A" sqref="A16:G16 AA16:IV16 F17:G21 D24:Z24 B17:C22 D22:Z22 G40:G57 F40:F56 B24:C57 F25:G39" name="Rango1_2_3"/>
    <protectedRange password="CF7A" sqref="H16:Z21 D37:E38 H26:Z28 D47:E55 H37:Z38 H41:Z55 D18:E21 D28:E28 H31:Z32" name="Rango1_2_2_1"/>
  </protectedRanges>
  <phoneticPr fontId="0" type="noConversion"/>
  <pageMargins left="1" right="0.75" top="0.25" bottom="0.13" header="0" footer="0"/>
  <pageSetup paperSize="17" scale="7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5"/>
  <sheetViews>
    <sheetView workbookViewId="0">
      <selection activeCell="J15" sqref="J15"/>
    </sheetView>
  </sheetViews>
  <sheetFormatPr defaultColWidth="11.42578125" defaultRowHeight="12.75"/>
  <cols>
    <col min="1" max="1" width="50.42578125" style="8" customWidth="1"/>
    <col min="2" max="2" width="15.42578125" style="50" customWidth="1"/>
    <col min="3" max="3" width="1.42578125" style="51" customWidth="1"/>
    <col min="4" max="4" width="15.42578125" style="50" customWidth="1"/>
    <col min="5" max="5" width="1.42578125" style="51" customWidth="1"/>
    <col min="6" max="6" width="15.42578125" style="50" customWidth="1"/>
    <col min="7" max="7" width="1.42578125" style="51" customWidth="1"/>
    <col min="8" max="8" width="15.42578125" style="50" customWidth="1"/>
    <col min="9" max="9" width="1.140625" style="51" customWidth="1"/>
    <col min="10" max="10" width="15.42578125" style="50" customWidth="1"/>
    <col min="11" max="11" width="0.85546875" style="51" customWidth="1"/>
    <col min="12" max="12" width="15.42578125" style="50" customWidth="1"/>
    <col min="13" max="13" width="1.42578125" style="51" customWidth="1"/>
    <col min="14" max="14" width="15.42578125" style="50" customWidth="1"/>
    <col min="15" max="15" width="1.42578125" style="51" customWidth="1"/>
    <col min="16" max="16" width="15.42578125" style="50" customWidth="1"/>
    <col min="17" max="17" width="1.42578125" style="51" customWidth="1"/>
    <col min="18" max="18" width="15.42578125" style="50" customWidth="1"/>
    <col min="19" max="19" width="1.42578125" style="51" customWidth="1"/>
    <col min="20" max="20" width="15.42578125" style="52" customWidth="1"/>
    <col min="21" max="21" width="0.85546875" style="53" customWidth="1"/>
    <col min="22" max="22" width="15.42578125" style="50" customWidth="1"/>
    <col min="23" max="23" width="1.42578125" style="51" customWidth="1"/>
    <col min="24" max="24" width="15.42578125" style="52" customWidth="1"/>
    <col min="25" max="25" width="1.42578125" style="53" customWidth="1"/>
    <col min="26" max="26" width="15.42578125" style="52" customWidth="1"/>
    <col min="27" max="27" width="17.42578125" style="54" customWidth="1"/>
    <col min="28" max="32" width="11.42578125" style="54" hidden="1" customWidth="1"/>
    <col min="33" max="33" width="11.42578125" style="54"/>
    <col min="34" max="16384" width="11.42578125" style="8"/>
  </cols>
  <sheetData>
    <row r="1" spans="1:26" ht="15">
      <c r="Z1" s="48" t="s">
        <v>166</v>
      </c>
    </row>
    <row r="2" spans="1:26" ht="15.75">
      <c r="A2" s="36" t="s">
        <v>173</v>
      </c>
      <c r="B2" s="37"/>
      <c r="C2" s="37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</row>
    <row r="3" spans="1:26">
      <c r="A3" s="4" t="s">
        <v>140</v>
      </c>
      <c r="B3" s="37"/>
      <c r="C3" s="37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</row>
    <row r="4" spans="1:26">
      <c r="A4" s="4"/>
      <c r="B4" s="37"/>
      <c r="C4" s="37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</row>
    <row r="5" spans="1:26">
      <c r="A5" s="1" t="s">
        <v>169</v>
      </c>
      <c r="B5" s="37"/>
      <c r="C5" s="37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 spans="1:26">
      <c r="A6" s="4"/>
      <c r="B6" s="38"/>
      <c r="C6" s="38"/>
      <c r="D6" s="39"/>
      <c r="E6" s="39"/>
      <c r="F6" s="39"/>
      <c r="G6" s="39"/>
      <c r="H6" s="38"/>
      <c r="I6" s="38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8"/>
      <c r="W6" s="38"/>
      <c r="X6" s="39"/>
      <c r="Y6" s="39"/>
      <c r="Z6" s="39"/>
    </row>
    <row r="7" spans="1:26">
      <c r="A7" s="4" t="s">
        <v>141</v>
      </c>
      <c r="B7" s="38"/>
      <c r="C7" s="38"/>
      <c r="D7" s="39"/>
      <c r="E7" s="39"/>
      <c r="F7" s="39"/>
      <c r="G7" s="39"/>
      <c r="H7" s="38"/>
      <c r="I7" s="38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8"/>
      <c r="W7" s="38"/>
      <c r="X7" s="39"/>
      <c r="Y7" s="39"/>
      <c r="Z7" s="39"/>
    </row>
    <row r="8" spans="1:26" ht="13.5" thickBot="1">
      <c r="A8" s="43"/>
      <c r="B8" s="44"/>
      <c r="C8" s="44"/>
      <c r="D8" s="45"/>
      <c r="E8" s="45"/>
      <c r="F8" s="45"/>
      <c r="G8" s="45"/>
      <c r="H8" s="44"/>
      <c r="I8" s="44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4"/>
      <c r="W8" s="44"/>
      <c r="X8" s="45"/>
      <c r="Y8" s="45"/>
      <c r="Z8" s="45"/>
    </row>
    <row r="9" spans="1:26" ht="13.5" thickTop="1">
      <c r="A9" s="1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</row>
    <row r="10" spans="1:26">
      <c r="A10" s="1"/>
      <c r="B10" s="40"/>
      <c r="C10" s="40"/>
      <c r="D10" s="40"/>
      <c r="E10" s="40"/>
      <c r="F10" s="40"/>
      <c r="G10" s="40"/>
      <c r="H10" s="40" t="s">
        <v>1</v>
      </c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 t="s">
        <v>2</v>
      </c>
      <c r="W10" s="40"/>
      <c r="X10" s="40"/>
      <c r="Y10" s="40"/>
      <c r="Z10" s="40"/>
    </row>
    <row r="11" spans="1:26">
      <c r="A11" s="1"/>
      <c r="B11" s="40" t="s">
        <v>26</v>
      </c>
      <c r="C11" s="40"/>
      <c r="D11" s="40"/>
      <c r="E11" s="40"/>
      <c r="F11" s="40"/>
      <c r="G11" s="40"/>
      <c r="H11" s="40" t="s">
        <v>3</v>
      </c>
      <c r="I11" s="40"/>
      <c r="J11" s="40" t="s">
        <v>4</v>
      </c>
      <c r="K11" s="40"/>
      <c r="L11" s="40"/>
      <c r="M11" s="40"/>
      <c r="N11" s="40" t="s">
        <v>4</v>
      </c>
      <c r="O11" s="40"/>
      <c r="P11" s="40"/>
      <c r="Q11" s="40"/>
      <c r="R11" s="40"/>
      <c r="S11" s="40"/>
      <c r="T11" s="40" t="s">
        <v>5</v>
      </c>
      <c r="U11" s="40"/>
      <c r="V11" s="40" t="s">
        <v>6</v>
      </c>
      <c r="W11" s="40"/>
      <c r="X11" s="40" t="s">
        <v>7</v>
      </c>
      <c r="Y11" s="40"/>
      <c r="Z11" s="40" t="s">
        <v>8</v>
      </c>
    </row>
    <row r="12" spans="1:26">
      <c r="A12" s="1"/>
      <c r="B12" s="49" t="s">
        <v>172</v>
      </c>
      <c r="C12" s="49"/>
      <c r="D12" s="49" t="s">
        <v>12</v>
      </c>
      <c r="E12" s="49"/>
      <c r="F12" s="49" t="s">
        <v>161</v>
      </c>
      <c r="G12" s="49"/>
      <c r="H12" s="49" t="s">
        <v>11</v>
      </c>
      <c r="I12" s="49"/>
      <c r="J12" s="49" t="s">
        <v>13</v>
      </c>
      <c r="K12" s="49"/>
      <c r="L12" s="49" t="s">
        <v>14</v>
      </c>
      <c r="M12" s="49"/>
      <c r="N12" s="49" t="s">
        <v>15</v>
      </c>
      <c r="O12" s="49"/>
      <c r="P12" s="49" t="s">
        <v>16</v>
      </c>
      <c r="Q12" s="49"/>
      <c r="R12" s="49" t="s">
        <v>17</v>
      </c>
      <c r="S12" s="49"/>
      <c r="T12" s="49" t="s">
        <v>18</v>
      </c>
      <c r="U12" s="49"/>
      <c r="V12" s="49" t="s">
        <v>19</v>
      </c>
      <c r="W12" s="49"/>
      <c r="X12" s="49" t="s">
        <v>20</v>
      </c>
      <c r="Y12" s="49"/>
      <c r="Z12" s="49" t="s">
        <v>21</v>
      </c>
    </row>
    <row r="13" spans="1:26">
      <c r="A13" s="1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</row>
    <row r="14" spans="1:26">
      <c r="A14" s="4" t="s">
        <v>44</v>
      </c>
    </row>
    <row r="15" spans="1:26">
      <c r="A15" s="4" t="s">
        <v>45</v>
      </c>
      <c r="B15" s="32">
        <f>SUM(D15:F15)</f>
        <v>34705427</v>
      </c>
      <c r="C15" s="34"/>
      <c r="D15" s="80">
        <v>-18926</v>
      </c>
      <c r="E15" s="34"/>
      <c r="F15" s="32">
        <f>H15+J15+L15+N15+P15+R15+T15+V15+X15+Z15</f>
        <v>34724353</v>
      </c>
      <c r="G15" s="34"/>
      <c r="H15" s="32">
        <v>34724353</v>
      </c>
      <c r="I15" s="34"/>
      <c r="J15" s="32">
        <v>0</v>
      </c>
      <c r="K15" s="34"/>
      <c r="L15" s="32">
        <v>0</v>
      </c>
      <c r="M15" s="34"/>
      <c r="N15" s="32">
        <v>0</v>
      </c>
      <c r="O15" s="34"/>
      <c r="P15" s="32">
        <v>0</v>
      </c>
      <c r="Q15" s="34"/>
      <c r="R15" s="32">
        <v>0</v>
      </c>
      <c r="S15" s="34"/>
      <c r="T15" s="32">
        <v>0</v>
      </c>
      <c r="U15" s="34"/>
      <c r="V15" s="32">
        <v>0</v>
      </c>
      <c r="W15" s="34"/>
      <c r="X15" s="32">
        <v>0</v>
      </c>
      <c r="Y15" s="34"/>
      <c r="Z15" s="32">
        <v>0</v>
      </c>
    </row>
    <row r="16" spans="1:26">
      <c r="A16" s="4" t="s">
        <v>46</v>
      </c>
      <c r="B16" s="32">
        <f t="shared" ref="B16:B49" si="0">SUM(D16:F16)</f>
        <v>9605849</v>
      </c>
      <c r="C16" s="34"/>
      <c r="D16" s="80">
        <v>-173984</v>
      </c>
      <c r="E16" s="34"/>
      <c r="F16" s="32">
        <f t="shared" ref="F16:F49" si="1">H16+J16+L16+N16+P16+R16+T16+V16+X16+Z16</f>
        <v>9779833</v>
      </c>
      <c r="G16" s="34"/>
      <c r="H16" s="32">
        <v>5907511</v>
      </c>
      <c r="I16" s="34"/>
      <c r="J16" s="32">
        <v>0</v>
      </c>
      <c r="K16" s="34"/>
      <c r="L16" s="32">
        <v>0</v>
      </c>
      <c r="M16" s="34"/>
      <c r="N16" s="32">
        <v>0</v>
      </c>
      <c r="O16" s="34"/>
      <c r="P16" s="32">
        <v>0</v>
      </c>
      <c r="Q16" s="34"/>
      <c r="R16" s="32">
        <v>0</v>
      </c>
      <c r="S16" s="34"/>
      <c r="T16" s="32">
        <v>3872322</v>
      </c>
      <c r="U16" s="34"/>
      <c r="V16" s="32">
        <v>0</v>
      </c>
      <c r="W16" s="34"/>
      <c r="X16" s="32">
        <v>0</v>
      </c>
      <c r="Y16" s="34"/>
      <c r="Z16" s="32">
        <v>0</v>
      </c>
    </row>
    <row r="17" spans="1:33">
      <c r="A17" s="4" t="s">
        <v>47</v>
      </c>
      <c r="B17" s="32">
        <f t="shared" si="0"/>
        <v>45125209</v>
      </c>
      <c r="C17" s="34"/>
      <c r="D17" s="80">
        <v>-906206</v>
      </c>
      <c r="E17" s="34"/>
      <c r="F17" s="32">
        <f t="shared" si="1"/>
        <v>46031415</v>
      </c>
      <c r="G17" s="34"/>
      <c r="H17" s="32">
        <v>46031415</v>
      </c>
      <c r="I17" s="34"/>
      <c r="J17" s="32">
        <v>0</v>
      </c>
      <c r="K17" s="34"/>
      <c r="L17" s="32">
        <v>0</v>
      </c>
      <c r="M17" s="34"/>
      <c r="N17" s="32">
        <v>0</v>
      </c>
      <c r="O17" s="34"/>
      <c r="P17" s="32">
        <v>0</v>
      </c>
      <c r="Q17" s="34"/>
      <c r="R17" s="32">
        <v>0</v>
      </c>
      <c r="S17" s="34"/>
      <c r="T17" s="32">
        <v>0</v>
      </c>
      <c r="U17" s="34"/>
      <c r="V17" s="32">
        <v>0</v>
      </c>
      <c r="W17" s="34"/>
      <c r="X17" s="32">
        <v>0</v>
      </c>
      <c r="Y17" s="34"/>
      <c r="Z17" s="32">
        <v>0</v>
      </c>
    </row>
    <row r="18" spans="1:33">
      <c r="A18" s="4" t="s">
        <v>48</v>
      </c>
      <c r="B18" s="32">
        <f t="shared" si="0"/>
        <v>294686051</v>
      </c>
      <c r="C18" s="34"/>
      <c r="D18" s="80">
        <v>0</v>
      </c>
      <c r="E18" s="34"/>
      <c r="F18" s="32">
        <f t="shared" si="1"/>
        <v>294686051</v>
      </c>
      <c r="G18" s="34"/>
      <c r="H18" s="32">
        <v>294686051</v>
      </c>
      <c r="I18" s="34"/>
      <c r="J18" s="32">
        <v>0</v>
      </c>
      <c r="K18" s="34"/>
      <c r="L18" s="32">
        <v>0</v>
      </c>
      <c r="M18" s="34"/>
      <c r="N18" s="32">
        <v>0</v>
      </c>
      <c r="O18" s="34"/>
      <c r="P18" s="32">
        <v>0</v>
      </c>
      <c r="Q18" s="34"/>
      <c r="R18" s="32">
        <v>0</v>
      </c>
      <c r="S18" s="34"/>
      <c r="T18" s="32">
        <v>0</v>
      </c>
      <c r="U18" s="34"/>
      <c r="V18" s="32">
        <v>0</v>
      </c>
      <c r="W18" s="34"/>
      <c r="X18" s="32">
        <v>0</v>
      </c>
      <c r="Y18" s="34"/>
      <c r="Z18" s="32">
        <v>0</v>
      </c>
    </row>
    <row r="19" spans="1:33">
      <c r="A19" s="4" t="s">
        <v>49</v>
      </c>
      <c r="B19" s="31">
        <f t="shared" si="0"/>
        <v>97825126</v>
      </c>
      <c r="C19" s="34"/>
      <c r="D19" s="80">
        <v>-42094910</v>
      </c>
      <c r="E19" s="34"/>
      <c r="F19" s="31">
        <f t="shared" si="1"/>
        <v>139920036</v>
      </c>
      <c r="G19" s="34"/>
      <c r="H19" s="32">
        <v>96559849</v>
      </c>
      <c r="I19" s="34"/>
      <c r="J19" s="32">
        <v>0</v>
      </c>
      <c r="K19" s="34"/>
      <c r="L19" s="32">
        <v>0</v>
      </c>
      <c r="M19" s="34"/>
      <c r="N19" s="32">
        <v>0</v>
      </c>
      <c r="O19" s="34"/>
      <c r="P19" s="32">
        <v>0</v>
      </c>
      <c r="Q19" s="34"/>
      <c r="R19" s="32">
        <v>0</v>
      </c>
      <c r="S19" s="34"/>
      <c r="T19" s="32">
        <v>43360187</v>
      </c>
      <c r="U19" s="34"/>
      <c r="V19" s="32">
        <v>0</v>
      </c>
      <c r="W19" s="34"/>
      <c r="X19" s="32">
        <v>0</v>
      </c>
      <c r="Y19" s="34"/>
      <c r="Z19" s="32">
        <v>0</v>
      </c>
    </row>
    <row r="20" spans="1:33">
      <c r="A20" s="1" t="s">
        <v>50</v>
      </c>
      <c r="B20" s="33">
        <f t="shared" si="0"/>
        <v>481947662</v>
      </c>
      <c r="C20" s="34"/>
      <c r="D20" s="81">
        <f>SUM(D15:D19)</f>
        <v>-43194026</v>
      </c>
      <c r="E20" s="34"/>
      <c r="F20" s="33">
        <f t="shared" si="1"/>
        <v>525141688</v>
      </c>
      <c r="G20" s="34"/>
      <c r="H20" s="33">
        <f>SUM(H15:H19)</f>
        <v>477909179</v>
      </c>
      <c r="I20" s="34"/>
      <c r="J20" s="33">
        <f>SUM(J15:J19)</f>
        <v>0</v>
      </c>
      <c r="K20" s="34"/>
      <c r="L20" s="33">
        <f>SUM(L15:L19)</f>
        <v>0</v>
      </c>
      <c r="M20" s="34"/>
      <c r="N20" s="33">
        <f>SUM(N15:N19)</f>
        <v>0</v>
      </c>
      <c r="O20" s="34"/>
      <c r="P20" s="33">
        <f>SUM(P15:P19)</f>
        <v>0</v>
      </c>
      <c r="Q20" s="34"/>
      <c r="R20" s="33">
        <f>SUM(R15:R19)</f>
        <v>0</v>
      </c>
      <c r="S20" s="34"/>
      <c r="T20" s="33">
        <f>SUM(T15:T19)</f>
        <v>47232509</v>
      </c>
      <c r="U20" s="34"/>
      <c r="V20" s="33">
        <f>SUM(V15:V19)</f>
        <v>0</v>
      </c>
      <c r="W20" s="34"/>
      <c r="X20" s="33">
        <f>SUM(X15:X19)</f>
        <v>0</v>
      </c>
      <c r="Y20" s="34"/>
      <c r="Z20" s="33">
        <f>SUM(Z15:Z19)</f>
        <v>0</v>
      </c>
    </row>
    <row r="21" spans="1:33">
      <c r="A21" s="4"/>
      <c r="B21" s="32"/>
      <c r="C21" s="34"/>
      <c r="D21" s="32"/>
      <c r="E21" s="34"/>
      <c r="F21" s="32"/>
      <c r="G21" s="34"/>
      <c r="H21" s="32"/>
      <c r="I21" s="34"/>
      <c r="J21" s="32"/>
      <c r="K21" s="34"/>
      <c r="L21" s="32"/>
      <c r="M21" s="34"/>
      <c r="N21" s="32"/>
      <c r="O21" s="34"/>
      <c r="P21" s="32"/>
      <c r="Q21" s="34"/>
      <c r="R21" s="32"/>
      <c r="S21" s="34"/>
      <c r="T21" s="32"/>
      <c r="U21" s="34"/>
      <c r="V21" s="32"/>
      <c r="W21" s="34"/>
      <c r="X21" s="32"/>
      <c r="Y21" s="34"/>
      <c r="Z21" s="32"/>
    </row>
    <row r="22" spans="1:33">
      <c r="A22" s="4" t="s">
        <v>150</v>
      </c>
      <c r="B22" s="32">
        <f t="shared" si="0"/>
        <v>38400000</v>
      </c>
      <c r="C22" s="34"/>
      <c r="D22" s="80">
        <v>-695000</v>
      </c>
      <c r="E22" s="34"/>
      <c r="F22" s="32">
        <f t="shared" si="1"/>
        <v>39095000</v>
      </c>
      <c r="G22" s="34"/>
      <c r="H22" s="32">
        <v>39095000</v>
      </c>
      <c r="I22" s="34"/>
      <c r="J22" s="32">
        <v>0</v>
      </c>
      <c r="K22" s="34"/>
      <c r="L22" s="32">
        <v>0</v>
      </c>
      <c r="M22" s="34"/>
      <c r="N22" s="32">
        <v>0</v>
      </c>
      <c r="O22" s="34"/>
      <c r="P22" s="32">
        <v>0</v>
      </c>
      <c r="Q22" s="34"/>
      <c r="R22" s="32">
        <v>0</v>
      </c>
      <c r="S22" s="34"/>
      <c r="T22" s="32">
        <v>0</v>
      </c>
      <c r="U22" s="34"/>
      <c r="V22" s="32">
        <v>0</v>
      </c>
      <c r="W22" s="34"/>
      <c r="X22" s="32">
        <v>0</v>
      </c>
      <c r="Y22" s="34"/>
      <c r="Z22" s="32">
        <v>0</v>
      </c>
    </row>
    <row r="23" spans="1:33">
      <c r="A23" s="4" t="s">
        <v>178</v>
      </c>
      <c r="B23" s="32">
        <f t="shared" si="0"/>
        <v>28777152</v>
      </c>
      <c r="C23" s="34"/>
      <c r="D23" s="80">
        <v>-36240045</v>
      </c>
      <c r="E23" s="34"/>
      <c r="F23" s="32">
        <f t="shared" si="1"/>
        <v>65017197</v>
      </c>
      <c r="G23" s="34"/>
      <c r="H23" s="32">
        <v>28579040</v>
      </c>
      <c r="I23" s="34"/>
      <c r="J23" s="32">
        <v>4644605</v>
      </c>
      <c r="K23" s="34"/>
      <c r="L23" s="32">
        <v>0</v>
      </c>
      <c r="M23" s="34"/>
      <c r="N23" s="32">
        <v>0</v>
      </c>
      <c r="O23" s="34"/>
      <c r="P23" s="32">
        <v>24052172</v>
      </c>
      <c r="Q23" s="34"/>
      <c r="R23" s="32">
        <v>2472511</v>
      </c>
      <c r="S23" s="34"/>
      <c r="T23" s="32">
        <v>859643</v>
      </c>
      <c r="U23" s="34"/>
      <c r="V23" s="32">
        <v>0</v>
      </c>
      <c r="W23" s="34"/>
      <c r="X23" s="32">
        <v>3148958</v>
      </c>
      <c r="Y23" s="34"/>
      <c r="Z23" s="32">
        <v>1260268</v>
      </c>
    </row>
    <row r="24" spans="1:33">
      <c r="A24" s="4" t="s">
        <v>52</v>
      </c>
      <c r="B24" s="32">
        <f t="shared" si="0"/>
        <v>3647000</v>
      </c>
      <c r="C24" s="34"/>
      <c r="D24" s="32">
        <v>0</v>
      </c>
      <c r="E24" s="34"/>
      <c r="F24" s="32">
        <f t="shared" si="1"/>
        <v>3647000</v>
      </c>
      <c r="G24" s="34"/>
      <c r="H24" s="32">
        <v>3647000</v>
      </c>
      <c r="I24" s="34"/>
      <c r="J24" s="32">
        <v>0</v>
      </c>
      <c r="K24" s="34"/>
      <c r="L24" s="32">
        <v>0</v>
      </c>
      <c r="M24" s="34"/>
      <c r="N24" s="32">
        <v>0</v>
      </c>
      <c r="O24" s="34"/>
      <c r="P24" s="32">
        <v>0</v>
      </c>
      <c r="Q24" s="34"/>
      <c r="R24" s="32">
        <v>0</v>
      </c>
      <c r="S24" s="34"/>
      <c r="T24" s="32">
        <v>0</v>
      </c>
      <c r="U24" s="34"/>
      <c r="V24" s="32">
        <v>0</v>
      </c>
      <c r="W24" s="34"/>
      <c r="X24" s="32">
        <v>0</v>
      </c>
      <c r="Y24" s="34"/>
      <c r="Z24" s="32">
        <v>0</v>
      </c>
    </row>
    <row r="25" spans="1:33">
      <c r="A25" s="4"/>
      <c r="B25" s="32"/>
      <c r="C25" s="34"/>
      <c r="D25" s="32"/>
      <c r="E25" s="34"/>
      <c r="F25" s="32"/>
      <c r="G25" s="34"/>
      <c r="H25" s="32"/>
      <c r="I25" s="34"/>
      <c r="J25" s="32"/>
      <c r="K25" s="34"/>
      <c r="L25" s="32"/>
      <c r="M25" s="34"/>
      <c r="N25" s="32"/>
      <c r="O25" s="34"/>
      <c r="P25" s="32"/>
      <c r="Q25" s="34"/>
      <c r="R25" s="32"/>
      <c r="S25" s="34"/>
      <c r="T25" s="32"/>
      <c r="U25" s="34"/>
      <c r="V25" s="32"/>
      <c r="W25" s="34"/>
      <c r="X25" s="32"/>
      <c r="Y25" s="34"/>
      <c r="Z25" s="32"/>
    </row>
    <row r="26" spans="1:33">
      <c r="A26" s="4" t="s">
        <v>53</v>
      </c>
      <c r="B26" s="32"/>
      <c r="C26" s="34"/>
      <c r="D26" s="80"/>
      <c r="E26" s="34"/>
      <c r="F26" s="32"/>
      <c r="G26" s="34"/>
      <c r="H26" s="32"/>
      <c r="I26" s="34"/>
      <c r="J26" s="32"/>
      <c r="K26" s="34"/>
      <c r="L26" s="32"/>
      <c r="M26" s="34"/>
      <c r="N26" s="32"/>
      <c r="O26" s="34"/>
      <c r="P26" s="32"/>
      <c r="Q26" s="34"/>
      <c r="R26" s="32"/>
      <c r="S26" s="34"/>
      <c r="T26" s="32"/>
      <c r="U26" s="34"/>
      <c r="V26" s="32"/>
      <c r="W26" s="34"/>
      <c r="X26" s="32"/>
      <c r="Y26" s="34"/>
      <c r="Z26" s="32"/>
    </row>
    <row r="27" spans="1:33">
      <c r="A27" s="4" t="s">
        <v>162</v>
      </c>
      <c r="B27" s="32">
        <f t="shared" si="0"/>
        <v>4030858</v>
      </c>
      <c r="C27" s="34"/>
      <c r="D27" s="80">
        <v>0</v>
      </c>
      <c r="E27" s="34"/>
      <c r="F27" s="32">
        <f t="shared" si="1"/>
        <v>4030858</v>
      </c>
      <c r="G27" s="34"/>
      <c r="H27" s="32">
        <v>4030858</v>
      </c>
      <c r="I27" s="34"/>
      <c r="J27" s="32">
        <v>0</v>
      </c>
      <c r="K27" s="34"/>
      <c r="L27" s="32">
        <v>0</v>
      </c>
      <c r="M27" s="34"/>
      <c r="N27" s="32">
        <v>0</v>
      </c>
      <c r="O27" s="34"/>
      <c r="P27" s="32">
        <v>0</v>
      </c>
      <c r="Q27" s="34"/>
      <c r="R27" s="32">
        <v>0</v>
      </c>
      <c r="S27" s="34"/>
      <c r="T27" s="32">
        <v>0</v>
      </c>
      <c r="U27" s="34"/>
      <c r="V27" s="32">
        <v>0</v>
      </c>
      <c r="W27" s="34"/>
      <c r="X27" s="32">
        <v>0</v>
      </c>
      <c r="Y27" s="34"/>
      <c r="Z27" s="32">
        <v>0</v>
      </c>
    </row>
    <row r="28" spans="1:33">
      <c r="A28" s="4" t="s">
        <v>54</v>
      </c>
      <c r="B28" s="32">
        <f t="shared" si="0"/>
        <v>2398479</v>
      </c>
      <c r="C28" s="34"/>
      <c r="D28" s="80">
        <v>-466524</v>
      </c>
      <c r="E28" s="34"/>
      <c r="F28" s="32">
        <f t="shared" si="1"/>
        <v>2865003</v>
      </c>
      <c r="G28" s="34"/>
      <c r="H28" s="32">
        <v>2325825</v>
      </c>
      <c r="I28" s="34"/>
      <c r="J28" s="32">
        <v>0</v>
      </c>
      <c r="K28" s="34"/>
      <c r="L28" s="32">
        <v>0</v>
      </c>
      <c r="M28" s="34"/>
      <c r="N28" s="32">
        <v>0</v>
      </c>
      <c r="O28" s="34"/>
      <c r="P28" s="32">
        <v>0</v>
      </c>
      <c r="Q28" s="34"/>
      <c r="R28" s="32">
        <v>74697</v>
      </c>
      <c r="S28" s="34"/>
      <c r="T28" s="32">
        <v>464481</v>
      </c>
      <c r="U28" s="34"/>
      <c r="V28" s="32">
        <v>0</v>
      </c>
      <c r="W28" s="34"/>
      <c r="X28" s="32">
        <v>0</v>
      </c>
      <c r="Y28" s="34"/>
      <c r="Z28" s="32">
        <v>0</v>
      </c>
    </row>
    <row r="29" spans="1:33">
      <c r="A29" s="4" t="s">
        <v>55</v>
      </c>
      <c r="B29" s="32">
        <f t="shared" si="0"/>
        <v>4722730</v>
      </c>
      <c r="C29" s="34"/>
      <c r="D29" s="80">
        <v>0</v>
      </c>
      <c r="E29" s="34"/>
      <c r="F29" s="32">
        <f t="shared" si="1"/>
        <v>4722730</v>
      </c>
      <c r="G29" s="34"/>
      <c r="H29" s="32">
        <v>4722730</v>
      </c>
      <c r="I29" s="34"/>
      <c r="J29" s="32">
        <v>0</v>
      </c>
      <c r="K29" s="34"/>
      <c r="L29" s="32">
        <v>0</v>
      </c>
      <c r="M29" s="34"/>
      <c r="N29" s="32">
        <v>0</v>
      </c>
      <c r="O29" s="34"/>
      <c r="P29" s="32">
        <v>0</v>
      </c>
      <c r="Q29" s="34"/>
      <c r="R29" s="32">
        <v>0</v>
      </c>
      <c r="S29" s="34"/>
      <c r="T29" s="32">
        <v>0</v>
      </c>
      <c r="U29" s="34"/>
      <c r="V29" s="32">
        <v>0</v>
      </c>
      <c r="W29" s="34"/>
      <c r="X29" s="32">
        <v>0</v>
      </c>
      <c r="Y29" s="34"/>
      <c r="Z29" s="32">
        <v>0</v>
      </c>
    </row>
    <row r="30" spans="1:33">
      <c r="A30" s="4" t="s">
        <v>56</v>
      </c>
      <c r="B30" s="32">
        <f t="shared" si="0"/>
        <v>310599</v>
      </c>
      <c r="C30" s="34"/>
      <c r="D30" s="80">
        <v>0</v>
      </c>
      <c r="E30" s="34"/>
      <c r="F30" s="32">
        <f t="shared" si="1"/>
        <v>310599</v>
      </c>
      <c r="G30" s="34"/>
      <c r="H30" s="32">
        <v>0</v>
      </c>
      <c r="I30" s="34"/>
      <c r="J30" s="32">
        <v>310599</v>
      </c>
      <c r="K30" s="34"/>
      <c r="L30" s="32">
        <v>0</v>
      </c>
      <c r="M30" s="34"/>
      <c r="N30" s="32">
        <v>0</v>
      </c>
      <c r="O30" s="34"/>
      <c r="P30" s="32">
        <v>0</v>
      </c>
      <c r="Q30" s="34"/>
      <c r="R30" s="32">
        <v>0</v>
      </c>
      <c r="S30" s="34"/>
      <c r="T30" s="32">
        <v>0</v>
      </c>
      <c r="U30" s="34"/>
      <c r="V30" s="32">
        <v>0</v>
      </c>
      <c r="W30" s="34"/>
      <c r="X30" s="32">
        <v>0</v>
      </c>
      <c r="Y30" s="34"/>
      <c r="Z30" s="32">
        <v>0</v>
      </c>
    </row>
    <row r="31" spans="1:33" s="9" customFormat="1">
      <c r="A31" s="4" t="s">
        <v>57</v>
      </c>
      <c r="B31" s="32">
        <f t="shared" si="0"/>
        <v>7647771</v>
      </c>
      <c r="C31" s="34"/>
      <c r="D31" s="80">
        <v>-768155</v>
      </c>
      <c r="E31" s="34"/>
      <c r="F31" s="32">
        <f t="shared" si="1"/>
        <v>8415926</v>
      </c>
      <c r="G31" s="34"/>
      <c r="H31" s="32">
        <v>6476190</v>
      </c>
      <c r="I31" s="34"/>
      <c r="J31" s="32">
        <v>939893</v>
      </c>
      <c r="K31" s="34"/>
      <c r="L31" s="32">
        <v>32912</v>
      </c>
      <c r="M31" s="34"/>
      <c r="N31" s="32">
        <v>60530</v>
      </c>
      <c r="O31" s="34"/>
      <c r="P31" s="32">
        <v>805627</v>
      </c>
      <c r="Q31" s="34"/>
      <c r="R31" s="32">
        <v>83031</v>
      </c>
      <c r="S31" s="34"/>
      <c r="T31" s="32">
        <v>1607</v>
      </c>
      <c r="U31" s="34"/>
      <c r="V31" s="32">
        <v>0</v>
      </c>
      <c r="W31" s="34"/>
      <c r="X31" s="32">
        <v>0</v>
      </c>
      <c r="Y31" s="34"/>
      <c r="Z31" s="32">
        <v>16136</v>
      </c>
      <c r="AA31" s="55"/>
      <c r="AB31" s="55"/>
      <c r="AC31" s="55"/>
      <c r="AD31" s="55"/>
      <c r="AE31" s="55"/>
      <c r="AF31" s="55"/>
      <c r="AG31" s="55"/>
    </row>
    <row r="32" spans="1:33" s="9" customFormat="1">
      <c r="A32" s="4" t="s">
        <v>24</v>
      </c>
      <c r="B32" s="31">
        <f t="shared" si="0"/>
        <v>1993985</v>
      </c>
      <c r="C32" s="34"/>
      <c r="D32" s="80">
        <v>0</v>
      </c>
      <c r="E32" s="34"/>
      <c r="F32" s="31">
        <f t="shared" si="1"/>
        <v>1993985</v>
      </c>
      <c r="G32" s="34"/>
      <c r="H32" s="32">
        <f>+ROUND([1]ConsolPs!E23,0)</f>
        <v>1483422</v>
      </c>
      <c r="I32" s="34"/>
      <c r="J32" s="32">
        <f>+ROUND([1]ConsolPs!F23,0)</f>
        <v>139143</v>
      </c>
      <c r="K32" s="34"/>
      <c r="L32" s="32">
        <f>+ROUND([1]ConsolPs!G23,0)-1</f>
        <v>11868</v>
      </c>
      <c r="M32" s="34"/>
      <c r="N32" s="32">
        <f>+ROUND([1]ConsolPs!H23,0)+2</f>
        <v>5752</v>
      </c>
      <c r="O32" s="34"/>
      <c r="P32" s="32">
        <f>+ROUND([1]ConsolPs!I23,0)</f>
        <v>123022</v>
      </c>
      <c r="Q32" s="34"/>
      <c r="R32" s="32">
        <f>+ROUND([1]ConsolPs!J23,0)</f>
        <v>18714</v>
      </c>
      <c r="S32" s="34"/>
      <c r="T32" s="32">
        <f>+ROUND([1]ConsolPs!K23,0)</f>
        <v>0</v>
      </c>
      <c r="U32" s="34"/>
      <c r="V32" s="32">
        <f>+ROUND([1]ConsolPs!L23,0)</f>
        <v>0</v>
      </c>
      <c r="W32" s="34"/>
      <c r="X32" s="32">
        <f>+ROUND([1]ConsolPs!M23,0)</f>
        <v>0</v>
      </c>
      <c r="Y32" s="34"/>
      <c r="Z32" s="32">
        <f>+ROUND([1]ConsolPs!N23,0)</f>
        <v>212064</v>
      </c>
      <c r="AA32" s="55"/>
      <c r="AB32" s="55"/>
      <c r="AC32" s="55"/>
      <c r="AD32" s="55"/>
      <c r="AE32" s="55"/>
      <c r="AF32" s="55"/>
      <c r="AG32" s="55"/>
    </row>
    <row r="33" spans="1:32">
      <c r="A33" s="4" t="s">
        <v>58</v>
      </c>
      <c r="B33" s="33">
        <f t="shared" si="0"/>
        <v>21104422</v>
      </c>
      <c r="C33" s="34"/>
      <c r="D33" s="81">
        <f>SUM(D27:D32)</f>
        <v>-1234679</v>
      </c>
      <c r="E33" s="34"/>
      <c r="F33" s="33">
        <f t="shared" si="1"/>
        <v>22339101</v>
      </c>
      <c r="G33" s="34"/>
      <c r="H33" s="33">
        <f>SUM(H27:H32)</f>
        <v>19039025</v>
      </c>
      <c r="I33" s="34"/>
      <c r="J33" s="33">
        <f>SUM(J27:J32)</f>
        <v>1389635</v>
      </c>
      <c r="K33" s="34"/>
      <c r="L33" s="33">
        <f t="shared" ref="L33:Z33" si="2">SUM(L27:L32)</f>
        <v>44780</v>
      </c>
      <c r="M33" s="34"/>
      <c r="N33" s="33">
        <f t="shared" si="2"/>
        <v>66282</v>
      </c>
      <c r="O33" s="34"/>
      <c r="P33" s="33">
        <f t="shared" si="2"/>
        <v>928649</v>
      </c>
      <c r="Q33" s="34"/>
      <c r="R33" s="33">
        <f t="shared" si="2"/>
        <v>176442</v>
      </c>
      <c r="S33" s="34"/>
      <c r="T33" s="33">
        <f t="shared" si="2"/>
        <v>466088</v>
      </c>
      <c r="U33" s="34"/>
      <c r="V33" s="33">
        <f t="shared" si="2"/>
        <v>0</v>
      </c>
      <c r="W33" s="34"/>
      <c r="X33" s="33">
        <f t="shared" si="2"/>
        <v>0</v>
      </c>
      <c r="Y33" s="34"/>
      <c r="Z33" s="33">
        <f t="shared" si="2"/>
        <v>228200</v>
      </c>
    </row>
    <row r="34" spans="1:32">
      <c r="A34" s="4" t="s">
        <v>59</v>
      </c>
      <c r="B34" s="33">
        <f>+B33+B24+B23+B22+B20</f>
        <v>573876236</v>
      </c>
      <c r="C34" s="34"/>
      <c r="D34" s="81">
        <f t="shared" ref="D34:Z34" si="3">+D33+D24+D23+D22+D20</f>
        <v>-81363750</v>
      </c>
      <c r="E34" s="34"/>
      <c r="F34" s="33">
        <f t="shared" si="3"/>
        <v>655239986</v>
      </c>
      <c r="G34" s="34"/>
      <c r="H34" s="33">
        <f t="shared" si="3"/>
        <v>568269244</v>
      </c>
      <c r="I34" s="34"/>
      <c r="J34" s="33">
        <f t="shared" si="3"/>
        <v>6034240</v>
      </c>
      <c r="K34" s="34"/>
      <c r="L34" s="33">
        <f t="shared" si="3"/>
        <v>44780</v>
      </c>
      <c r="M34" s="34"/>
      <c r="N34" s="33">
        <f t="shared" si="3"/>
        <v>66282</v>
      </c>
      <c r="O34" s="34"/>
      <c r="P34" s="33">
        <f t="shared" si="3"/>
        <v>24980821</v>
      </c>
      <c r="Q34" s="34"/>
      <c r="R34" s="33">
        <f t="shared" si="3"/>
        <v>2648953</v>
      </c>
      <c r="S34" s="34"/>
      <c r="T34" s="33">
        <f t="shared" si="3"/>
        <v>48558240</v>
      </c>
      <c r="U34" s="34"/>
      <c r="V34" s="33">
        <f t="shared" si="3"/>
        <v>0</v>
      </c>
      <c r="W34" s="34"/>
      <c r="X34" s="33">
        <f t="shared" si="3"/>
        <v>3148958</v>
      </c>
      <c r="Y34" s="34"/>
      <c r="Z34" s="33">
        <f t="shared" si="3"/>
        <v>1488468</v>
      </c>
      <c r="AB34" s="54">
        <f>+H34+P34+T34</f>
        <v>641808305</v>
      </c>
      <c r="AC34" s="54">
        <f>+N34</f>
        <v>66282</v>
      </c>
      <c r="AD34" s="54">
        <f>+J34+L34+R34+V34+X34+Z34</f>
        <v>13365399</v>
      </c>
      <c r="AE34" s="54">
        <f>+D34</f>
        <v>-81363750</v>
      </c>
      <c r="AF34" s="54">
        <f>SUM(AB34:AE34)</f>
        <v>573876236</v>
      </c>
    </row>
    <row r="35" spans="1:32">
      <c r="A35" s="4"/>
      <c r="B35" s="32"/>
      <c r="C35" s="34"/>
      <c r="D35" s="32"/>
      <c r="E35" s="34"/>
      <c r="F35" s="32"/>
      <c r="G35" s="34"/>
      <c r="H35" s="32"/>
      <c r="I35" s="34"/>
      <c r="J35" s="32"/>
      <c r="K35" s="34"/>
      <c r="L35" s="32"/>
      <c r="M35" s="34"/>
      <c r="N35" s="32"/>
      <c r="O35" s="34"/>
      <c r="P35" s="32"/>
      <c r="Q35" s="34"/>
      <c r="R35" s="32"/>
      <c r="S35" s="34"/>
      <c r="T35" s="32"/>
      <c r="U35" s="34"/>
      <c r="V35" s="32"/>
      <c r="W35" s="34"/>
      <c r="X35" s="32"/>
      <c r="Y35" s="34"/>
      <c r="Z35" s="32"/>
    </row>
    <row r="36" spans="1:32">
      <c r="A36" s="4" t="s">
        <v>60</v>
      </c>
      <c r="B36" s="32"/>
      <c r="C36" s="34"/>
      <c r="D36" s="32"/>
      <c r="E36" s="34"/>
      <c r="F36" s="32"/>
      <c r="G36" s="34"/>
      <c r="H36" s="32"/>
      <c r="I36" s="34"/>
      <c r="J36" s="32"/>
      <c r="K36" s="34"/>
      <c r="L36" s="32"/>
      <c r="M36" s="34"/>
      <c r="N36" s="32"/>
      <c r="O36" s="34"/>
      <c r="P36" s="32"/>
      <c r="Q36" s="34"/>
      <c r="R36" s="32"/>
      <c r="S36" s="34"/>
      <c r="T36" s="32"/>
      <c r="U36" s="34"/>
      <c r="V36" s="32"/>
      <c r="W36" s="34"/>
      <c r="X36" s="32"/>
      <c r="Y36" s="34"/>
      <c r="Z36" s="32"/>
    </row>
    <row r="37" spans="1:32">
      <c r="A37" s="4" t="s">
        <v>61</v>
      </c>
      <c r="B37" s="32">
        <f t="shared" si="0"/>
        <v>42000000</v>
      </c>
      <c r="C37" s="34"/>
      <c r="D37" s="80">
        <v>-5661000</v>
      </c>
      <c r="E37" s="34"/>
      <c r="F37" s="32">
        <f t="shared" si="1"/>
        <v>47661000</v>
      </c>
      <c r="G37" s="34"/>
      <c r="H37" s="32">
        <v>42000000</v>
      </c>
      <c r="I37" s="34"/>
      <c r="J37" s="32">
        <v>750000</v>
      </c>
      <c r="K37" s="34"/>
      <c r="L37" s="32">
        <v>323000</v>
      </c>
      <c r="M37" s="34"/>
      <c r="N37" s="32">
        <v>250000</v>
      </c>
      <c r="O37" s="34"/>
      <c r="P37" s="32">
        <v>1228000</v>
      </c>
      <c r="Q37" s="34"/>
      <c r="R37" s="32">
        <v>50000</v>
      </c>
      <c r="S37" s="34"/>
      <c r="T37" s="32">
        <v>3000000</v>
      </c>
      <c r="U37" s="34"/>
      <c r="V37" s="32">
        <v>50000</v>
      </c>
      <c r="W37" s="34"/>
      <c r="X37" s="32">
        <v>0</v>
      </c>
      <c r="Y37" s="34"/>
      <c r="Z37" s="32">
        <v>10000</v>
      </c>
    </row>
    <row r="38" spans="1:32">
      <c r="A38" s="4" t="s">
        <v>62</v>
      </c>
      <c r="B38" s="32">
        <f t="shared" si="0"/>
        <v>0</v>
      </c>
      <c r="C38" s="34"/>
      <c r="D38" s="80">
        <v>-39000</v>
      </c>
      <c r="E38" s="34"/>
      <c r="F38" s="32">
        <f t="shared" si="1"/>
        <v>39000</v>
      </c>
      <c r="G38" s="34"/>
      <c r="H38" s="32">
        <v>0</v>
      </c>
      <c r="I38" s="34"/>
      <c r="J38" s="32">
        <v>0</v>
      </c>
      <c r="K38" s="34"/>
      <c r="L38" s="32">
        <v>0</v>
      </c>
      <c r="M38" s="34"/>
      <c r="N38" s="32">
        <v>0</v>
      </c>
      <c r="O38" s="34"/>
      <c r="P38" s="32">
        <v>0</v>
      </c>
      <c r="Q38" s="34"/>
      <c r="R38" s="32">
        <v>0</v>
      </c>
      <c r="S38" s="34"/>
      <c r="T38" s="32">
        <v>0</v>
      </c>
      <c r="U38" s="34"/>
      <c r="V38" s="32">
        <v>0</v>
      </c>
      <c r="W38" s="34"/>
      <c r="X38" s="32">
        <v>0</v>
      </c>
      <c r="Y38" s="34"/>
      <c r="Z38" s="32">
        <v>39000</v>
      </c>
    </row>
    <row r="39" spans="1:32">
      <c r="A39" s="4" t="s">
        <v>63</v>
      </c>
      <c r="B39" s="32">
        <f t="shared" si="0"/>
        <v>111128</v>
      </c>
      <c r="C39" s="34"/>
      <c r="D39" s="80">
        <v>0</v>
      </c>
      <c r="E39" s="34"/>
      <c r="F39" s="32">
        <f t="shared" si="1"/>
        <v>111128</v>
      </c>
      <c r="G39" s="34"/>
      <c r="H39" s="32">
        <v>0</v>
      </c>
      <c r="I39" s="34"/>
      <c r="J39" s="32">
        <v>0</v>
      </c>
      <c r="K39" s="34"/>
      <c r="L39" s="32">
        <v>0</v>
      </c>
      <c r="M39" s="34"/>
      <c r="N39" s="32">
        <v>0</v>
      </c>
      <c r="O39" s="34"/>
      <c r="P39" s="32">
        <v>0</v>
      </c>
      <c r="Q39" s="34"/>
      <c r="R39" s="32">
        <v>0</v>
      </c>
      <c r="S39" s="34"/>
      <c r="T39" s="32">
        <v>111128</v>
      </c>
      <c r="U39" s="34"/>
      <c r="V39" s="32">
        <v>0</v>
      </c>
      <c r="W39" s="34"/>
      <c r="X39" s="32">
        <v>0</v>
      </c>
      <c r="Y39" s="34"/>
      <c r="Z39" s="32">
        <v>0</v>
      </c>
    </row>
    <row r="40" spans="1:32">
      <c r="A40" s="4" t="s">
        <v>163</v>
      </c>
      <c r="B40" s="8"/>
      <c r="C40" s="8"/>
      <c r="D40" s="84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32">
      <c r="A41" s="4" t="s">
        <v>164</v>
      </c>
      <c r="B41" s="32">
        <f>SUM(D41:F41)</f>
        <v>173527</v>
      </c>
      <c r="C41" s="34"/>
      <c r="D41" s="80">
        <v>0</v>
      </c>
      <c r="E41" s="34"/>
      <c r="F41" s="32">
        <f>H41+J41+L41+N41+P41+R41+T41+V41+X41+Z41</f>
        <v>173527</v>
      </c>
      <c r="G41" s="34"/>
      <c r="H41" s="32">
        <v>173527</v>
      </c>
      <c r="I41" s="34"/>
      <c r="J41" s="32">
        <v>0</v>
      </c>
      <c r="K41" s="34"/>
      <c r="L41" s="32">
        <v>0</v>
      </c>
      <c r="M41" s="34"/>
      <c r="N41" s="32">
        <v>0</v>
      </c>
      <c r="O41" s="34"/>
      <c r="P41" s="32">
        <v>0</v>
      </c>
      <c r="Q41" s="34"/>
      <c r="R41" s="32">
        <v>0</v>
      </c>
      <c r="S41" s="34"/>
      <c r="T41" s="32">
        <v>0</v>
      </c>
      <c r="U41" s="34"/>
      <c r="V41" s="32">
        <v>0</v>
      </c>
      <c r="W41" s="34"/>
      <c r="X41" s="32">
        <v>0</v>
      </c>
      <c r="Y41" s="34"/>
      <c r="Z41" s="32">
        <v>0</v>
      </c>
    </row>
    <row r="42" spans="1:32">
      <c r="A42" s="4" t="s">
        <v>176</v>
      </c>
      <c r="B42" s="32">
        <f t="shared" si="0"/>
        <v>2502645</v>
      </c>
      <c r="C42" s="34"/>
      <c r="D42" s="80">
        <v>0</v>
      </c>
      <c r="E42" s="34"/>
      <c r="F42" s="32">
        <f t="shared" si="1"/>
        <v>2502645</v>
      </c>
      <c r="G42" s="34"/>
      <c r="H42" s="32">
        <v>2123262</v>
      </c>
      <c r="I42" s="34"/>
      <c r="J42" s="32">
        <v>0</v>
      </c>
      <c r="K42" s="34"/>
      <c r="L42" s="32">
        <v>0</v>
      </c>
      <c r="M42" s="34"/>
      <c r="N42" s="32">
        <v>0</v>
      </c>
      <c r="O42" s="34"/>
      <c r="P42" s="32">
        <v>40833</v>
      </c>
      <c r="Q42" s="34"/>
      <c r="R42" s="32">
        <v>0</v>
      </c>
      <c r="S42" s="34"/>
      <c r="T42" s="32">
        <v>0</v>
      </c>
      <c r="U42" s="34"/>
      <c r="V42" s="32">
        <v>0</v>
      </c>
      <c r="W42" s="34"/>
      <c r="X42" s="32">
        <v>0</v>
      </c>
      <c r="Y42" s="34"/>
      <c r="Z42" s="32">
        <v>338550</v>
      </c>
    </row>
    <row r="43" spans="1:32">
      <c r="A43" s="4" t="s">
        <v>64</v>
      </c>
      <c r="B43" s="31">
        <f t="shared" si="0"/>
        <v>19926903</v>
      </c>
      <c r="C43" s="34"/>
      <c r="D43" s="82">
        <v>303211</v>
      </c>
      <c r="E43" s="34"/>
      <c r="F43" s="31">
        <f t="shared" si="1"/>
        <v>19623692</v>
      </c>
      <c r="G43" s="34"/>
      <c r="H43" s="31">
        <v>13042951</v>
      </c>
      <c r="I43" s="34"/>
      <c r="J43" s="31">
        <v>596426</v>
      </c>
      <c r="K43" s="34"/>
      <c r="L43" s="82">
        <v>-7285</v>
      </c>
      <c r="M43" s="34"/>
      <c r="N43" s="82">
        <v>-59591</v>
      </c>
      <c r="O43" s="34"/>
      <c r="P43" s="31">
        <v>2358899</v>
      </c>
      <c r="Q43" s="34"/>
      <c r="R43" s="31">
        <v>989081</v>
      </c>
      <c r="S43" s="34"/>
      <c r="T43" s="31">
        <v>1726482</v>
      </c>
      <c r="U43" s="34"/>
      <c r="V43" s="31">
        <v>0</v>
      </c>
      <c r="W43" s="34"/>
      <c r="X43" s="31">
        <v>1591776</v>
      </c>
      <c r="Y43" s="34"/>
      <c r="Z43" s="82">
        <v>-615047</v>
      </c>
    </row>
    <row r="44" spans="1:32" hidden="1">
      <c r="A44" s="4" t="s">
        <v>65</v>
      </c>
      <c r="B44" s="32" t="e">
        <f t="shared" si="0"/>
        <v>#REF!</v>
      </c>
      <c r="C44" s="34"/>
      <c r="D44" s="32">
        <f>+ROUND([1]ConsolPs!C34,0)</f>
        <v>82829</v>
      </c>
      <c r="E44" s="34"/>
      <c r="F44" s="32" t="e">
        <f t="shared" si="1"/>
        <v>#REF!</v>
      </c>
      <c r="G44" s="34"/>
      <c r="H44" s="32">
        <f>+ROUND([1]ConsolPs!E34,0)</f>
        <v>5473554</v>
      </c>
      <c r="I44" s="34"/>
      <c r="J44" s="32">
        <f>+ROUND([1]ConsolPs!F34,0)</f>
        <v>159301</v>
      </c>
      <c r="K44" s="34"/>
      <c r="L44" s="32">
        <f>+ROUND([1]ConsolPs!G34,0)</f>
        <v>21862</v>
      </c>
      <c r="M44" s="34"/>
      <c r="N44" s="32">
        <f>+ROUND([1]ConsolPs!H34,0)</f>
        <v>17381</v>
      </c>
      <c r="O44" s="34"/>
      <c r="P44" s="32">
        <f>+ROUND([1]ConsolPs!I34,0)</f>
        <v>671308</v>
      </c>
      <c r="Q44" s="34"/>
      <c r="R44" s="32">
        <f>+ROUND([1]ConsolPs!J34,0)</f>
        <v>206591</v>
      </c>
      <c r="S44" s="34"/>
      <c r="T44" s="32">
        <f>+ROUND([1]ConsolPs!K34,0)</f>
        <v>461889</v>
      </c>
      <c r="U44" s="34"/>
      <c r="V44" s="32" t="e">
        <f>+ROUND([1]ConsolPs!L34,0)</f>
        <v>#REF!</v>
      </c>
      <c r="W44" s="34"/>
      <c r="X44" s="32">
        <f>+ROUND([1]ConsolPs!M34,0)</f>
        <v>85333</v>
      </c>
      <c r="Y44" s="34"/>
      <c r="Z44" s="32">
        <f>+ROUND([1]ConsolPs!N34,0)</f>
        <v>44495</v>
      </c>
    </row>
    <row r="45" spans="1:32" hidden="1">
      <c r="A45" s="4" t="s">
        <v>66</v>
      </c>
      <c r="B45" s="32" t="e">
        <f t="shared" si="0"/>
        <v>#REF!</v>
      </c>
      <c r="C45" s="34"/>
      <c r="D45" s="32" t="e">
        <f>+ROUND([1]ConsolPs!C35,0)</f>
        <v>#REF!</v>
      </c>
      <c r="E45" s="34"/>
      <c r="F45" s="32" t="e">
        <f t="shared" si="1"/>
        <v>#REF!</v>
      </c>
      <c r="G45" s="34"/>
      <c r="H45" s="32">
        <f>+ROUND([1]ConsolPs!E35,0)</f>
        <v>-340875</v>
      </c>
      <c r="I45" s="34"/>
      <c r="J45" s="32" t="e">
        <f>+ROUND([1]ConsolPs!F35,0)</f>
        <v>#REF!</v>
      </c>
      <c r="K45" s="34"/>
      <c r="L45" s="32">
        <f>+ROUND([1]ConsolPs!G35,0)</f>
        <v>0</v>
      </c>
      <c r="M45" s="34"/>
      <c r="N45" s="32" t="e">
        <f>+ROUND([1]ConsolPs!H35,0)</f>
        <v>#REF!</v>
      </c>
      <c r="O45" s="34"/>
      <c r="P45" s="32" t="e">
        <f>+ROUND([1]ConsolPs!I35,0)</f>
        <v>#REF!</v>
      </c>
      <c r="Q45" s="34"/>
      <c r="R45" s="32" t="e">
        <f>+ROUND([1]ConsolPs!J35,0)</f>
        <v>#REF!</v>
      </c>
      <c r="S45" s="34"/>
      <c r="T45" s="32" t="e">
        <f>+ROUND([1]ConsolPs!K35,0)</f>
        <v>#REF!</v>
      </c>
      <c r="U45" s="34"/>
      <c r="V45" s="32" t="e">
        <f>+ROUND([1]ConsolPs!L35,0)</f>
        <v>#REF!</v>
      </c>
      <c r="W45" s="34"/>
      <c r="X45" s="32" t="e">
        <f>+ROUND([1]ConsolPs!M35,0)</f>
        <v>#REF!</v>
      </c>
      <c r="Y45" s="34"/>
      <c r="Z45" s="32" t="e">
        <f>+ROUND([1]ConsolPs!N35,0)</f>
        <v>#REF!</v>
      </c>
    </row>
    <row r="46" spans="1:32" hidden="1">
      <c r="A46" s="4" t="s">
        <v>64</v>
      </c>
      <c r="B46" s="31" t="e">
        <f t="shared" si="0"/>
        <v>#REF!</v>
      </c>
      <c r="C46" s="34"/>
      <c r="D46" s="31">
        <f>+ROUND([1]ConsolPs!C36,0)</f>
        <v>220382</v>
      </c>
      <c r="E46" s="34"/>
      <c r="F46" s="31" t="e">
        <f t="shared" si="1"/>
        <v>#REF!</v>
      </c>
      <c r="G46" s="34"/>
      <c r="H46" s="31">
        <f>+ROUND([1]ConsolPs!E36,0)</f>
        <v>7910272</v>
      </c>
      <c r="I46" s="34"/>
      <c r="J46" s="31">
        <f>+ROUND([1]ConsolPs!F36,0)</f>
        <v>437125</v>
      </c>
      <c r="K46" s="34"/>
      <c r="L46" s="31">
        <f>+ROUND([1]ConsolPs!G36,0)</f>
        <v>-29147</v>
      </c>
      <c r="M46" s="34"/>
      <c r="N46" s="31">
        <f>+ROUND([1]ConsolPs!H36,0)</f>
        <v>-76972</v>
      </c>
      <c r="O46" s="34"/>
      <c r="P46" s="31">
        <f>+ROUND([1]ConsolPs!I36,0)</f>
        <v>1687590</v>
      </c>
      <c r="Q46" s="34"/>
      <c r="R46" s="31">
        <f>+ROUND([1]ConsolPs!J36,0)</f>
        <v>782490</v>
      </c>
      <c r="S46" s="34"/>
      <c r="T46" s="31">
        <f>+ROUND([1]ConsolPs!K36,0)</f>
        <v>1264593</v>
      </c>
      <c r="U46" s="34"/>
      <c r="V46" s="31" t="e">
        <f>+ROUND([1]ConsolPs!L36,0)</f>
        <v>#REF!</v>
      </c>
      <c r="W46" s="34"/>
      <c r="X46" s="31">
        <f>+ROUND([1]ConsolPs!M36,0)</f>
        <v>1506443</v>
      </c>
      <c r="Y46" s="34"/>
      <c r="Z46" s="31">
        <f>+ROUND([1]ConsolPs!N36,0)</f>
        <v>-659542</v>
      </c>
    </row>
    <row r="47" spans="1:32">
      <c r="A47" s="4"/>
      <c r="B47" s="32"/>
      <c r="C47" s="34"/>
      <c r="D47" s="32"/>
      <c r="E47" s="34"/>
      <c r="F47" s="32">
        <f t="shared" si="1"/>
        <v>0</v>
      </c>
      <c r="G47" s="34"/>
      <c r="H47" s="32"/>
      <c r="I47" s="34"/>
      <c r="J47" s="32"/>
      <c r="K47" s="34"/>
      <c r="L47" s="32"/>
      <c r="M47" s="34"/>
      <c r="N47" s="32"/>
      <c r="O47" s="34"/>
      <c r="P47" s="32"/>
      <c r="Q47" s="34"/>
      <c r="R47" s="32"/>
      <c r="S47" s="34"/>
      <c r="T47" s="32"/>
      <c r="U47" s="34"/>
      <c r="V47" s="32"/>
      <c r="W47" s="34"/>
      <c r="X47" s="32"/>
      <c r="Y47" s="34"/>
      <c r="Z47" s="32"/>
    </row>
    <row r="48" spans="1:32">
      <c r="A48" s="4" t="s">
        <v>67</v>
      </c>
      <c r="B48" s="32">
        <f t="shared" si="0"/>
        <v>64714203</v>
      </c>
      <c r="C48" s="34"/>
      <c r="D48" s="80">
        <f t="shared" ref="D48:Z48" si="4">SUM(D37:D43)</f>
        <v>-5396789</v>
      </c>
      <c r="E48" s="34"/>
      <c r="F48" s="32">
        <f t="shared" si="1"/>
        <v>70110992</v>
      </c>
      <c r="G48" s="34"/>
      <c r="H48" s="32">
        <f t="shared" si="4"/>
        <v>57339740</v>
      </c>
      <c r="I48" s="34"/>
      <c r="J48" s="32">
        <f t="shared" si="4"/>
        <v>1346426</v>
      </c>
      <c r="K48" s="34"/>
      <c r="L48" s="32">
        <f t="shared" si="4"/>
        <v>315715</v>
      </c>
      <c r="M48" s="34"/>
      <c r="N48" s="32">
        <f t="shared" si="4"/>
        <v>190409</v>
      </c>
      <c r="O48" s="34"/>
      <c r="P48" s="32">
        <f t="shared" si="4"/>
        <v>3627732</v>
      </c>
      <c r="Q48" s="34"/>
      <c r="R48" s="32">
        <f t="shared" si="4"/>
        <v>1039081</v>
      </c>
      <c r="S48" s="34"/>
      <c r="T48" s="32">
        <f t="shared" si="4"/>
        <v>4837610</v>
      </c>
      <c r="U48" s="34"/>
      <c r="V48" s="32">
        <f t="shared" si="4"/>
        <v>50000</v>
      </c>
      <c r="W48" s="34"/>
      <c r="X48" s="32">
        <f t="shared" si="4"/>
        <v>1591776</v>
      </c>
      <c r="Y48" s="34"/>
      <c r="Z48" s="80">
        <f t="shared" si="4"/>
        <v>-227497</v>
      </c>
    </row>
    <row r="49" spans="1:26" ht="13.5" thickBot="1">
      <c r="A49" s="1" t="s">
        <v>68</v>
      </c>
      <c r="B49" s="42">
        <f t="shared" si="0"/>
        <v>638590439</v>
      </c>
      <c r="C49" s="34"/>
      <c r="D49" s="83">
        <f>+D48+D33+D24+D23+D22+D20</f>
        <v>-86760539</v>
      </c>
      <c r="E49" s="34"/>
      <c r="F49" s="42">
        <f t="shared" si="1"/>
        <v>725350978</v>
      </c>
      <c r="G49" s="34"/>
      <c r="H49" s="42">
        <f t="shared" ref="H49:V49" si="5">+H48+H33+H24+H23+H22+H20</f>
        <v>625608984</v>
      </c>
      <c r="I49" s="34"/>
      <c r="J49" s="42">
        <f t="shared" si="5"/>
        <v>7380666</v>
      </c>
      <c r="K49" s="34"/>
      <c r="L49" s="42">
        <f t="shared" si="5"/>
        <v>360495</v>
      </c>
      <c r="M49" s="34"/>
      <c r="N49" s="42">
        <f t="shared" si="5"/>
        <v>256691</v>
      </c>
      <c r="O49" s="34"/>
      <c r="P49" s="42">
        <f t="shared" si="5"/>
        <v>28608553</v>
      </c>
      <c r="Q49" s="34"/>
      <c r="R49" s="42">
        <f t="shared" si="5"/>
        <v>3688034</v>
      </c>
      <c r="S49" s="34"/>
      <c r="T49" s="42">
        <f t="shared" si="5"/>
        <v>53395850</v>
      </c>
      <c r="U49" s="34"/>
      <c r="V49" s="42">
        <f t="shared" si="5"/>
        <v>50000</v>
      </c>
      <c r="W49" s="34"/>
      <c r="X49" s="42">
        <f>+X48+X33+X24++X22+X20+X23</f>
        <v>4740734</v>
      </c>
      <c r="Y49" s="34"/>
      <c r="Z49" s="42">
        <f>+Z48+Z33+Z24+Z23+Z22+Z20</f>
        <v>1260971</v>
      </c>
    </row>
    <row r="50" spans="1:26" ht="13.5" thickTop="1"/>
    <row r="51" spans="1:26" hidden="1">
      <c r="B51" s="50">
        <f>+B49-'[1]ConsolAs '!B51</f>
        <v>-0.59390008449554443</v>
      </c>
      <c r="D51" s="50">
        <f>+D49-'[1]ConsolAs '!C51</f>
        <v>3.9999991655349731E-2</v>
      </c>
      <c r="F51" s="50">
        <f>+F49-'[1]ConsolAs '!D51</f>
        <v>-0.63390004634857178</v>
      </c>
      <c r="H51" s="50">
        <f>+H49-'[1]ConsolAs '!E51</f>
        <v>-0.56749999523162842</v>
      </c>
      <c r="J51" s="50">
        <f>+J49-'[1]ConsolAs '!F51</f>
        <v>3.9500000886619091E-2</v>
      </c>
      <c r="L51" s="50">
        <f>+L49-'[1]ConsolAs '!G51</f>
        <v>-0.75</v>
      </c>
      <c r="N51" s="50">
        <f>+N49-'[1]ConsolAs '!H51</f>
        <v>0.73999999999068677</v>
      </c>
      <c r="P51" s="50">
        <f>+P49-'[1]ConsolAs '!I51</f>
        <v>0.81180000677704811</v>
      </c>
      <c r="R51" s="50">
        <f>+R49-'[1]ConsolAs '!J51</f>
        <v>-0.14770000008866191</v>
      </c>
      <c r="T51" s="50">
        <f>+T49-'[1]ConsolAs '!K51</f>
        <v>-0.69999999552965164</v>
      </c>
      <c r="U51" s="51"/>
      <c r="V51" s="50">
        <f>+V49-'[1]ConsolAs '!L51</f>
        <v>0</v>
      </c>
      <c r="X51" s="50">
        <f>+X49-'[1]ConsolAs '!M51</f>
        <v>-0.35999999940395355</v>
      </c>
      <c r="Y51" s="51"/>
      <c r="Z51" s="50">
        <f>+Z49-'[1]ConsolAs '!N51</f>
        <v>0.30000000004656613</v>
      </c>
    </row>
    <row r="54" spans="1:26">
      <c r="A54" s="59"/>
    </row>
    <row r="58" spans="1:26">
      <c r="A58" s="59" t="s">
        <v>165</v>
      </c>
    </row>
    <row r="84" spans="1:26" ht="13.5" thickBot="1">
      <c r="A84" s="56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8"/>
      <c r="U84" s="58"/>
      <c r="V84" s="57"/>
      <c r="W84" s="57"/>
      <c r="X84" s="58"/>
      <c r="Y84" s="58"/>
      <c r="Z84" s="58"/>
    </row>
    <row r="85" spans="1:26" ht="13.5" thickTop="1"/>
  </sheetData>
  <phoneticPr fontId="0" type="noConversion"/>
  <pageMargins left="1" right="0.75" top="0.25" bottom="0.13" header="0" footer="0"/>
  <pageSetup paperSize="17" scale="7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116"/>
  <sheetViews>
    <sheetView workbookViewId="0">
      <selection activeCell="J15" sqref="J15"/>
    </sheetView>
  </sheetViews>
  <sheetFormatPr defaultColWidth="11.42578125" defaultRowHeight="12.75"/>
  <cols>
    <col min="1" max="1" width="56.42578125" style="8" bestFit="1" customWidth="1"/>
    <col min="2" max="2" width="12.42578125" style="50" bestFit="1" customWidth="1"/>
    <col min="3" max="3" width="1.140625" style="51" customWidth="1"/>
    <col min="4" max="4" width="15.42578125" style="54" bestFit="1" customWidth="1"/>
    <col min="5" max="5" width="1.140625" style="55" customWidth="1"/>
    <col min="6" max="6" width="16.140625" style="69" customWidth="1"/>
    <col min="7" max="7" width="1.42578125" style="70" customWidth="1"/>
    <col min="8" max="8" width="15.42578125" style="54" customWidth="1"/>
    <col min="9" max="11" width="15.42578125" style="54" hidden="1" customWidth="1"/>
    <col min="12" max="12" width="1.140625" style="55" customWidth="1"/>
    <col min="13" max="13" width="15.42578125" style="54" customWidth="1"/>
    <col min="14" max="14" width="1.140625" style="55" customWidth="1"/>
    <col min="15" max="15" width="15.42578125" style="69" customWidth="1"/>
    <col min="16" max="16" width="1.42578125" style="70" customWidth="1"/>
    <col min="17" max="17" width="15.42578125" style="69" customWidth="1"/>
    <col min="18" max="18" width="1.42578125" style="70" customWidth="1"/>
    <col min="19" max="19" width="15.42578125" style="69" customWidth="1"/>
    <col min="20" max="20" width="1.42578125" style="70" customWidth="1"/>
    <col min="21" max="21" width="15.42578125" style="69" customWidth="1"/>
    <col min="22" max="22" width="1.42578125" style="70" customWidth="1"/>
    <col min="23" max="23" width="15.42578125" style="69" customWidth="1"/>
    <col min="24" max="24" width="1.140625" style="70" customWidth="1"/>
    <col min="25" max="25" width="15.42578125" style="69" customWidth="1"/>
    <col min="26" max="26" width="1.42578125" style="70" customWidth="1"/>
    <col min="27" max="27" width="15.42578125" style="69" customWidth="1"/>
    <col min="28" max="28" width="1" style="70" customWidth="1"/>
    <col min="29" max="29" width="15.42578125" style="69" customWidth="1"/>
    <col min="30" max="30" width="11.42578125" style="54" customWidth="1"/>
    <col min="31" max="31" width="11.42578125" style="10" hidden="1" customWidth="1"/>
    <col min="32" max="32" width="10.140625" style="10" hidden="1" customWidth="1"/>
    <col min="33" max="33" width="9.42578125" style="10" hidden="1" customWidth="1"/>
    <col min="34" max="34" width="12.42578125" style="10" hidden="1" customWidth="1"/>
    <col min="35" max="35" width="10.42578125" style="10" hidden="1" customWidth="1"/>
    <col min="36" max="16384" width="11.42578125" style="8"/>
  </cols>
  <sheetData>
    <row r="1" spans="1:35" ht="15.75">
      <c r="A1" s="36" t="s">
        <v>173</v>
      </c>
      <c r="B1" s="37"/>
      <c r="C1" s="37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AC1" s="48" t="s">
        <v>167</v>
      </c>
    </row>
    <row r="2" spans="1:35">
      <c r="A2" s="4" t="s">
        <v>140</v>
      </c>
      <c r="B2" s="37"/>
      <c r="C2" s="37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</row>
    <row r="3" spans="1:35">
      <c r="A3" s="4"/>
      <c r="B3" s="37"/>
      <c r="C3" s="37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</row>
    <row r="4" spans="1:35">
      <c r="A4" s="1" t="s">
        <v>168</v>
      </c>
      <c r="B4" s="37"/>
      <c r="C4" s="37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</row>
    <row r="5" spans="1:35">
      <c r="A5" s="1"/>
      <c r="B5" s="37"/>
      <c r="C5" s="37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 spans="1:35">
      <c r="A6" s="4" t="s">
        <v>156</v>
      </c>
      <c r="B6" s="38"/>
      <c r="C6" s="38"/>
      <c r="D6" s="39"/>
      <c r="E6" s="39"/>
      <c r="F6" s="39"/>
      <c r="G6" s="39"/>
      <c r="H6" s="38"/>
      <c r="I6" s="38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8"/>
      <c r="W6" s="38"/>
      <c r="X6" s="39"/>
      <c r="Y6" s="39"/>
      <c r="Z6" s="39"/>
    </row>
    <row r="7" spans="1:35">
      <c r="A7" s="4"/>
      <c r="B7" s="38"/>
      <c r="C7" s="38"/>
      <c r="D7" s="39"/>
      <c r="E7" s="39"/>
      <c r="F7" s="39"/>
      <c r="G7" s="39"/>
      <c r="H7" s="38"/>
      <c r="I7" s="38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8"/>
      <c r="W7" s="38"/>
      <c r="X7" s="39"/>
      <c r="Y7" s="39"/>
      <c r="Z7" s="39"/>
    </row>
    <row r="8" spans="1:35">
      <c r="A8" s="4" t="s">
        <v>141</v>
      </c>
      <c r="B8" s="38"/>
      <c r="C8" s="38"/>
      <c r="D8" s="39"/>
      <c r="E8" s="39"/>
      <c r="F8" s="39"/>
      <c r="G8" s="39"/>
      <c r="H8" s="38"/>
      <c r="I8" s="38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8"/>
      <c r="W8" s="38"/>
      <c r="X8" s="39"/>
      <c r="Y8" s="39"/>
      <c r="Z8" s="39"/>
    </row>
    <row r="9" spans="1:35" ht="13.5" thickBot="1">
      <c r="A9" s="43"/>
      <c r="B9" s="44"/>
      <c r="C9" s="44"/>
      <c r="D9" s="45"/>
      <c r="E9" s="45"/>
      <c r="F9" s="45"/>
      <c r="G9" s="45"/>
      <c r="H9" s="44"/>
      <c r="I9" s="44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4"/>
      <c r="W9" s="44"/>
      <c r="X9" s="45"/>
      <c r="Y9" s="45"/>
      <c r="Z9" s="45"/>
      <c r="AA9" s="78"/>
      <c r="AB9" s="78"/>
      <c r="AC9" s="78"/>
    </row>
    <row r="10" spans="1:35" ht="13.5" thickTop="1">
      <c r="A10" s="1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</row>
    <row r="11" spans="1:35">
      <c r="A11" s="1"/>
      <c r="B11" s="40"/>
      <c r="C11" s="40"/>
      <c r="D11" s="40"/>
      <c r="E11" s="40"/>
      <c r="F11" s="40"/>
      <c r="G11" s="40"/>
      <c r="H11" s="40" t="s">
        <v>1</v>
      </c>
      <c r="N11" s="40"/>
      <c r="O11" s="40"/>
      <c r="P11" s="40"/>
      <c r="Q11" s="40"/>
      <c r="R11" s="40"/>
      <c r="S11" s="40"/>
      <c r="T11" s="40"/>
      <c r="U11" s="40"/>
      <c r="X11" s="40"/>
      <c r="Y11" s="40" t="s">
        <v>2</v>
      </c>
      <c r="Z11" s="40"/>
    </row>
    <row r="12" spans="1:35">
      <c r="A12" s="1"/>
      <c r="B12" s="40" t="s">
        <v>26</v>
      </c>
      <c r="C12" s="40"/>
      <c r="D12" s="40"/>
      <c r="E12" s="40"/>
      <c r="F12" s="40"/>
      <c r="G12" s="40"/>
      <c r="H12" s="40" t="s">
        <v>3</v>
      </c>
      <c r="M12" s="40" t="s">
        <v>4</v>
      </c>
      <c r="N12" s="40"/>
      <c r="P12" s="40"/>
      <c r="Q12" s="40" t="s">
        <v>4</v>
      </c>
      <c r="R12" s="40"/>
      <c r="S12" s="40"/>
      <c r="W12" s="40" t="s">
        <v>5</v>
      </c>
      <c r="Y12" s="40" t="s">
        <v>6</v>
      </c>
      <c r="AA12" s="40" t="s">
        <v>7</v>
      </c>
      <c r="AC12" s="40" t="s">
        <v>8</v>
      </c>
    </row>
    <row r="13" spans="1:35">
      <c r="A13" s="1"/>
      <c r="B13" s="49" t="s">
        <v>172</v>
      </c>
      <c r="C13" s="49"/>
      <c r="D13" s="49" t="s">
        <v>12</v>
      </c>
      <c r="E13" s="49"/>
      <c r="F13" s="49" t="s">
        <v>161</v>
      </c>
      <c r="G13" s="49"/>
      <c r="H13" s="49" t="s">
        <v>11</v>
      </c>
      <c r="M13" s="49" t="s">
        <v>13</v>
      </c>
      <c r="N13" s="49"/>
      <c r="O13" s="49" t="s">
        <v>14</v>
      </c>
      <c r="P13" s="49"/>
      <c r="Q13" s="49" t="s">
        <v>15</v>
      </c>
      <c r="S13" s="49" t="s">
        <v>16</v>
      </c>
      <c r="U13" s="49" t="s">
        <v>17</v>
      </c>
      <c r="W13" s="49" t="s">
        <v>18</v>
      </c>
      <c r="Y13" s="49" t="s">
        <v>19</v>
      </c>
      <c r="AA13" s="49" t="s">
        <v>20</v>
      </c>
      <c r="AB13" s="61"/>
      <c r="AC13" s="49" t="s">
        <v>21</v>
      </c>
      <c r="AE13" s="3"/>
      <c r="AF13" s="3"/>
      <c r="AG13" s="3"/>
      <c r="AH13" s="3"/>
      <c r="AI13" s="3"/>
    </row>
    <row r="14" spans="1:35">
      <c r="B14" s="39"/>
      <c r="C14" s="60"/>
      <c r="D14" s="40"/>
      <c r="E14" s="61"/>
      <c r="F14" s="40"/>
      <c r="G14" s="61"/>
      <c r="H14" s="40"/>
      <c r="I14" s="40"/>
      <c r="J14" s="40"/>
      <c r="K14" s="40"/>
      <c r="L14" s="61"/>
      <c r="M14" s="40"/>
      <c r="N14" s="61"/>
      <c r="O14" s="40"/>
      <c r="P14" s="61"/>
      <c r="Q14" s="40"/>
      <c r="R14" s="61"/>
      <c r="S14" s="40"/>
      <c r="T14" s="61"/>
      <c r="U14" s="40"/>
      <c r="V14" s="61"/>
      <c r="W14" s="40"/>
      <c r="X14" s="61"/>
      <c r="Y14" s="40"/>
      <c r="Z14" s="61"/>
      <c r="AA14" s="40"/>
      <c r="AB14" s="61"/>
      <c r="AC14" s="40"/>
      <c r="AE14" s="3"/>
      <c r="AF14" s="3"/>
      <c r="AG14" s="3"/>
      <c r="AH14" s="3"/>
      <c r="AI14" s="3"/>
    </row>
    <row r="15" spans="1:35" s="54" customFormat="1">
      <c r="A15" s="85" t="s">
        <v>70</v>
      </c>
      <c r="B15" s="62"/>
      <c r="C15" s="62"/>
      <c r="D15" s="63"/>
      <c r="E15" s="63"/>
      <c r="F15" s="64"/>
      <c r="G15" s="65"/>
      <c r="H15" s="66"/>
      <c r="I15" s="63"/>
      <c r="J15" s="63"/>
      <c r="K15" s="67"/>
      <c r="L15" s="68"/>
      <c r="M15" s="66"/>
      <c r="N15" s="63"/>
      <c r="O15" s="64"/>
      <c r="P15" s="65"/>
      <c r="Q15" s="64"/>
      <c r="R15" s="65"/>
      <c r="S15" s="64"/>
      <c r="T15" s="65"/>
      <c r="U15" s="64"/>
      <c r="V15" s="65"/>
      <c r="W15" s="64"/>
      <c r="X15" s="65"/>
      <c r="Y15" s="64"/>
      <c r="Z15" s="65"/>
      <c r="AA15" s="64"/>
      <c r="AB15" s="65"/>
      <c r="AC15" s="64"/>
      <c r="AE15" s="64"/>
      <c r="AF15" s="64"/>
      <c r="AG15" s="64"/>
      <c r="AH15" s="64"/>
      <c r="AI15" s="64"/>
    </row>
    <row r="16" spans="1:35" s="54" customFormat="1">
      <c r="A16" s="85" t="s">
        <v>71</v>
      </c>
      <c r="B16" s="51"/>
      <c r="C16" s="51"/>
      <c r="D16" s="55"/>
      <c r="E16" s="55"/>
      <c r="F16" s="69"/>
      <c r="G16" s="70"/>
      <c r="I16" s="55"/>
      <c r="J16" s="55"/>
      <c r="K16" s="55"/>
      <c r="L16" s="55"/>
      <c r="N16" s="55"/>
      <c r="O16" s="69"/>
      <c r="P16" s="70"/>
      <c r="Q16" s="69"/>
      <c r="R16" s="70"/>
      <c r="S16" s="69"/>
      <c r="T16" s="70"/>
      <c r="U16" s="69"/>
      <c r="V16" s="70"/>
      <c r="W16" s="69"/>
      <c r="X16" s="70"/>
      <c r="Y16" s="69"/>
      <c r="Z16" s="70"/>
      <c r="AA16" s="69"/>
      <c r="AB16" s="70"/>
      <c r="AC16" s="69"/>
      <c r="AE16" s="69"/>
      <c r="AF16" s="69"/>
      <c r="AG16" s="69"/>
      <c r="AH16" s="69"/>
      <c r="AI16" s="69"/>
    </row>
    <row r="17" spans="1:35" s="54" customFormat="1">
      <c r="A17" s="87" t="s">
        <v>29</v>
      </c>
      <c r="B17" s="32">
        <f>SUM(D17:F17)</f>
        <v>32274918</v>
      </c>
      <c r="C17" s="34"/>
      <c r="D17" s="32">
        <v>-2674387</v>
      </c>
      <c r="E17" s="34"/>
      <c r="F17" s="32">
        <f>+H17+M17+O17+Q17+S17+U17+W17+Y17+AA17+AC17</f>
        <v>34949305</v>
      </c>
      <c r="G17" s="34"/>
      <c r="H17" s="32">
        <v>27615921</v>
      </c>
      <c r="I17" s="32">
        <v>28736861</v>
      </c>
      <c r="J17" s="32">
        <v>-1120940</v>
      </c>
      <c r="K17" s="32">
        <v>0</v>
      </c>
      <c r="L17" s="34"/>
      <c r="M17" s="32">
        <v>513787</v>
      </c>
      <c r="N17" s="34"/>
      <c r="O17" s="32">
        <v>0</v>
      </c>
      <c r="P17" s="34"/>
      <c r="Q17" s="32">
        <v>0</v>
      </c>
      <c r="R17" s="34"/>
      <c r="S17" s="32">
        <v>3004717</v>
      </c>
      <c r="T17" s="34"/>
      <c r="U17" s="32">
        <v>540293</v>
      </c>
      <c r="V17" s="34"/>
      <c r="W17" s="32">
        <v>2823378</v>
      </c>
      <c r="X17" s="34"/>
      <c r="Y17" s="32">
        <v>0</v>
      </c>
      <c r="Z17" s="34"/>
      <c r="AA17" s="32">
        <v>451209</v>
      </c>
      <c r="AB17" s="34"/>
      <c r="AC17" s="32">
        <v>0</v>
      </c>
      <c r="AE17" s="32">
        <f>+H17+S17+W17</f>
        <v>33444016</v>
      </c>
      <c r="AF17" s="32">
        <f>+Q17</f>
        <v>0</v>
      </c>
      <c r="AG17" s="32">
        <f>+M17+O17+U17+Y17+AA17+AC17</f>
        <v>1505289</v>
      </c>
      <c r="AH17" s="32">
        <f>+D17</f>
        <v>-2674387</v>
      </c>
      <c r="AI17" s="32">
        <f>SUM(AE17:AH17)</f>
        <v>32274918</v>
      </c>
    </row>
    <row r="18" spans="1:35" s="54" customFormat="1">
      <c r="A18" s="87" t="s">
        <v>72</v>
      </c>
      <c r="B18" s="32">
        <f>SUM(D18:F18)</f>
        <v>1682761</v>
      </c>
      <c r="C18" s="34"/>
      <c r="D18" s="32">
        <v>-2761538</v>
      </c>
      <c r="E18" s="34"/>
      <c r="F18" s="32">
        <f t="shared" ref="F18:F25" si="0">+H18+M18+O18+Q18+S18+U18+W18+Y18+AA18+AC18</f>
        <v>4444299</v>
      </c>
      <c r="G18" s="34"/>
      <c r="H18" s="32">
        <v>3940488</v>
      </c>
      <c r="I18" s="32">
        <v>4374146</v>
      </c>
      <c r="J18" s="32">
        <v>-433657</v>
      </c>
      <c r="K18" s="32">
        <v>0</v>
      </c>
      <c r="L18" s="34"/>
      <c r="M18" s="32">
        <v>0</v>
      </c>
      <c r="N18" s="34"/>
      <c r="O18" s="32">
        <v>0</v>
      </c>
      <c r="P18" s="34"/>
      <c r="Q18" s="32">
        <v>0</v>
      </c>
      <c r="R18" s="34"/>
      <c r="S18" s="32">
        <v>0</v>
      </c>
      <c r="T18" s="34"/>
      <c r="U18" s="32">
        <v>0</v>
      </c>
      <c r="V18" s="34"/>
      <c r="W18" s="32">
        <v>502180</v>
      </c>
      <c r="X18" s="34"/>
      <c r="Y18" s="32">
        <v>0</v>
      </c>
      <c r="Z18" s="34"/>
      <c r="AA18" s="32">
        <v>1631</v>
      </c>
      <c r="AB18" s="34"/>
      <c r="AC18" s="32">
        <v>0</v>
      </c>
      <c r="AE18" s="32">
        <f t="shared" ref="AE18:AE67" si="1">+H18+S18+W18</f>
        <v>4442668</v>
      </c>
      <c r="AF18" s="32">
        <f t="shared" ref="AF18:AF67" si="2">+Q18</f>
        <v>0</v>
      </c>
      <c r="AG18" s="32">
        <f t="shared" ref="AG18:AG67" si="3">+M18+O18+U18+Y18+AA18+AC18</f>
        <v>1631</v>
      </c>
      <c r="AH18" s="32">
        <f t="shared" ref="AH18:AH67" si="4">+D18</f>
        <v>-2761538</v>
      </c>
      <c r="AI18" s="32">
        <f t="shared" ref="AI18:AI67" si="5">SUM(AE18:AH18)</f>
        <v>1682761</v>
      </c>
    </row>
    <row r="19" spans="1:35" s="54" customFormat="1">
      <c r="A19" s="87" t="s">
        <v>38</v>
      </c>
      <c r="B19" s="32">
        <f>SUM(D19:F19)</f>
        <v>2434514</v>
      </c>
      <c r="C19" s="34"/>
      <c r="D19" s="32">
        <v>-97040</v>
      </c>
      <c r="E19" s="34"/>
      <c r="F19" s="32">
        <f t="shared" si="0"/>
        <v>2531554</v>
      </c>
      <c r="G19" s="34"/>
      <c r="H19" s="32">
        <v>2340096</v>
      </c>
      <c r="I19" s="32">
        <v>2340096</v>
      </c>
      <c r="J19" s="32">
        <v>0</v>
      </c>
      <c r="K19" s="32">
        <v>0</v>
      </c>
      <c r="L19" s="34"/>
      <c r="M19" s="32">
        <v>0</v>
      </c>
      <c r="N19" s="34"/>
      <c r="O19" s="32">
        <v>0</v>
      </c>
      <c r="P19" s="34"/>
      <c r="Q19" s="32">
        <v>56812</v>
      </c>
      <c r="R19" s="34"/>
      <c r="S19" s="32">
        <v>94140</v>
      </c>
      <c r="T19" s="34"/>
      <c r="U19" s="32">
        <v>0</v>
      </c>
      <c r="V19" s="34"/>
      <c r="W19" s="32">
        <v>40506</v>
      </c>
      <c r="X19" s="34"/>
      <c r="Y19" s="32">
        <v>0</v>
      </c>
      <c r="Z19" s="34"/>
      <c r="AA19" s="32">
        <v>0</v>
      </c>
      <c r="AB19" s="34"/>
      <c r="AC19" s="32">
        <v>0</v>
      </c>
      <c r="AE19" s="32">
        <f t="shared" si="1"/>
        <v>2474742</v>
      </c>
      <c r="AF19" s="32">
        <f t="shared" si="2"/>
        <v>56812</v>
      </c>
      <c r="AG19" s="32">
        <f t="shared" si="3"/>
        <v>0</v>
      </c>
      <c r="AH19" s="32">
        <f t="shared" si="4"/>
        <v>-97040</v>
      </c>
      <c r="AI19" s="32">
        <f t="shared" si="5"/>
        <v>2434514</v>
      </c>
    </row>
    <row r="20" spans="1:35" s="54" customFormat="1">
      <c r="A20" s="85" t="s">
        <v>73</v>
      </c>
      <c r="B20" s="32">
        <f>SUM(D20:F20)</f>
        <v>6069180</v>
      </c>
      <c r="C20" s="34"/>
      <c r="D20" s="32">
        <v>0</v>
      </c>
      <c r="E20" s="34"/>
      <c r="F20" s="32">
        <f t="shared" si="0"/>
        <v>6069180</v>
      </c>
      <c r="G20" s="34"/>
      <c r="H20" s="32">
        <v>5138694</v>
      </c>
      <c r="I20" s="32">
        <v>5235847</v>
      </c>
      <c r="J20" s="32">
        <v>-97153</v>
      </c>
      <c r="K20" s="32">
        <v>0</v>
      </c>
      <c r="L20" s="34"/>
      <c r="M20" s="32">
        <v>52870</v>
      </c>
      <c r="N20" s="34"/>
      <c r="O20" s="32">
        <v>0</v>
      </c>
      <c r="P20" s="34"/>
      <c r="Q20" s="32">
        <v>0</v>
      </c>
      <c r="R20" s="34"/>
      <c r="S20" s="32">
        <v>774525</v>
      </c>
      <c r="T20" s="34"/>
      <c r="U20" s="32">
        <v>102124</v>
      </c>
      <c r="V20" s="34"/>
      <c r="W20" s="32">
        <v>967</v>
      </c>
      <c r="X20" s="34"/>
      <c r="Y20" s="32">
        <v>0</v>
      </c>
      <c r="Z20" s="34"/>
      <c r="AA20" s="32">
        <v>0</v>
      </c>
      <c r="AB20" s="34"/>
      <c r="AC20" s="32">
        <v>0</v>
      </c>
      <c r="AE20" s="32">
        <f t="shared" si="1"/>
        <v>5914186</v>
      </c>
      <c r="AF20" s="32">
        <f t="shared" si="2"/>
        <v>0</v>
      </c>
      <c r="AG20" s="32">
        <f t="shared" si="3"/>
        <v>154994</v>
      </c>
      <c r="AH20" s="32">
        <f t="shared" si="4"/>
        <v>0</v>
      </c>
      <c r="AI20" s="32">
        <f t="shared" si="5"/>
        <v>6069180</v>
      </c>
    </row>
    <row r="21" spans="1:35" s="54" customFormat="1">
      <c r="A21" s="86" t="s">
        <v>74</v>
      </c>
      <c r="B21" s="33">
        <f t="shared" ref="B21:AC21" si="6">SUM(B17:B20)</f>
        <v>42461373</v>
      </c>
      <c r="C21" s="34"/>
      <c r="D21" s="33">
        <f t="shared" si="6"/>
        <v>-5532965</v>
      </c>
      <c r="E21" s="34"/>
      <c r="F21" s="33">
        <f t="shared" si="6"/>
        <v>47994338</v>
      </c>
      <c r="G21" s="34"/>
      <c r="H21" s="33">
        <f t="shared" si="6"/>
        <v>39035199</v>
      </c>
      <c r="I21" s="33">
        <f t="shared" si="6"/>
        <v>40686950</v>
      </c>
      <c r="J21" s="33">
        <f t="shared" si="6"/>
        <v>-1651750</v>
      </c>
      <c r="K21" s="33">
        <f t="shared" si="6"/>
        <v>0</v>
      </c>
      <c r="L21" s="34"/>
      <c r="M21" s="33">
        <f t="shared" si="6"/>
        <v>566657</v>
      </c>
      <c r="N21" s="34"/>
      <c r="O21" s="33">
        <f t="shared" si="6"/>
        <v>0</v>
      </c>
      <c r="P21" s="34"/>
      <c r="Q21" s="33">
        <f t="shared" si="6"/>
        <v>56812</v>
      </c>
      <c r="R21" s="34"/>
      <c r="S21" s="33">
        <f t="shared" si="6"/>
        <v>3873382</v>
      </c>
      <c r="T21" s="34"/>
      <c r="U21" s="33">
        <f t="shared" si="6"/>
        <v>642417</v>
      </c>
      <c r="V21" s="34"/>
      <c r="W21" s="33">
        <f t="shared" si="6"/>
        <v>3367031</v>
      </c>
      <c r="X21" s="34"/>
      <c r="Y21" s="33">
        <f t="shared" si="6"/>
        <v>0</v>
      </c>
      <c r="Z21" s="34"/>
      <c r="AA21" s="33">
        <f t="shared" si="6"/>
        <v>452840</v>
      </c>
      <c r="AB21" s="34"/>
      <c r="AC21" s="33">
        <f t="shared" si="6"/>
        <v>0</v>
      </c>
      <c r="AE21" s="33">
        <f t="shared" si="1"/>
        <v>46275612</v>
      </c>
      <c r="AF21" s="33">
        <f t="shared" si="2"/>
        <v>56812</v>
      </c>
      <c r="AG21" s="33">
        <f t="shared" si="3"/>
        <v>1661914</v>
      </c>
      <c r="AH21" s="33">
        <f t="shared" si="4"/>
        <v>-5532965</v>
      </c>
      <c r="AI21" s="33">
        <f t="shared" si="5"/>
        <v>42461373</v>
      </c>
    </row>
    <row r="22" spans="1:35" s="54" customFormat="1" hidden="1">
      <c r="A22" s="86"/>
      <c r="B22" s="32"/>
      <c r="C22" s="34"/>
      <c r="D22" s="32"/>
      <c r="E22" s="34"/>
      <c r="F22" s="32"/>
      <c r="G22" s="34"/>
      <c r="H22" s="32"/>
      <c r="I22" s="32"/>
      <c r="J22" s="32"/>
      <c r="K22" s="32"/>
      <c r="L22" s="34"/>
      <c r="M22" s="32"/>
      <c r="N22" s="34"/>
      <c r="O22" s="32"/>
      <c r="P22" s="34"/>
      <c r="Q22" s="32"/>
      <c r="R22" s="34"/>
      <c r="S22" s="32"/>
      <c r="T22" s="34"/>
      <c r="U22" s="32"/>
      <c r="V22" s="34"/>
      <c r="W22" s="32"/>
      <c r="X22" s="34"/>
      <c r="Y22" s="32"/>
      <c r="Z22" s="34"/>
      <c r="AA22" s="32"/>
      <c r="AB22" s="34"/>
      <c r="AC22" s="32"/>
      <c r="AE22" s="32">
        <f t="shared" si="1"/>
        <v>0</v>
      </c>
      <c r="AF22" s="32">
        <f t="shared" si="2"/>
        <v>0</v>
      </c>
      <c r="AG22" s="32">
        <f t="shared" si="3"/>
        <v>0</v>
      </c>
      <c r="AH22" s="32">
        <f t="shared" si="4"/>
        <v>0</v>
      </c>
      <c r="AI22" s="32">
        <f t="shared" si="5"/>
        <v>0</v>
      </c>
    </row>
    <row r="23" spans="1:35" s="54" customFormat="1" hidden="1">
      <c r="A23" s="85" t="s">
        <v>75</v>
      </c>
      <c r="B23" s="32">
        <f>SUM(D23:F23)</f>
        <v>6069179.5899999999</v>
      </c>
      <c r="C23" s="34"/>
      <c r="D23" s="32">
        <v>0</v>
      </c>
      <c r="E23" s="34"/>
      <c r="F23" s="32">
        <f t="shared" si="0"/>
        <v>6069179.5899999999</v>
      </c>
      <c r="G23" s="34"/>
      <c r="H23" s="32">
        <v>5138694.18</v>
      </c>
      <c r="I23" s="32">
        <v>5235846.79</v>
      </c>
      <c r="J23" s="32">
        <v>-97152.61</v>
      </c>
      <c r="K23" s="32"/>
      <c r="L23" s="34"/>
      <c r="M23" s="32">
        <v>52869.94</v>
      </c>
      <c r="N23" s="34"/>
      <c r="O23" s="32">
        <v>0</v>
      </c>
      <c r="P23" s="34"/>
      <c r="Q23" s="32">
        <v>0</v>
      </c>
      <c r="R23" s="34"/>
      <c r="S23" s="32">
        <v>774524.63</v>
      </c>
      <c r="T23" s="34"/>
      <c r="U23" s="32">
        <v>102124.1</v>
      </c>
      <c r="V23" s="34"/>
      <c r="W23" s="32">
        <v>966.74</v>
      </c>
      <c r="X23" s="34"/>
      <c r="Y23" s="32">
        <v>0</v>
      </c>
      <c r="Z23" s="34"/>
      <c r="AA23" s="32">
        <v>0</v>
      </c>
      <c r="AB23" s="34"/>
      <c r="AC23" s="32">
        <v>0</v>
      </c>
      <c r="AE23" s="32">
        <f t="shared" si="1"/>
        <v>5914185.5499999998</v>
      </c>
      <c r="AF23" s="32">
        <f t="shared" si="2"/>
        <v>0</v>
      </c>
      <c r="AG23" s="32">
        <f t="shared" si="3"/>
        <v>154994.04</v>
      </c>
      <c r="AH23" s="32">
        <f t="shared" si="4"/>
        <v>0</v>
      </c>
      <c r="AI23" s="32">
        <f t="shared" si="5"/>
        <v>6069179.5899999999</v>
      </c>
    </row>
    <row r="24" spans="1:35" s="54" customFormat="1" hidden="1">
      <c r="A24" s="85" t="s">
        <v>76</v>
      </c>
      <c r="B24" s="32">
        <f>SUM(D24:F24)</f>
        <v>440844.33</v>
      </c>
      <c r="C24" s="34"/>
      <c r="D24" s="32">
        <v>0</v>
      </c>
      <c r="E24" s="34"/>
      <c r="F24" s="32">
        <f t="shared" si="0"/>
        <v>440844.33</v>
      </c>
      <c r="G24" s="34"/>
      <c r="H24" s="32">
        <f>SUM(I24:K24)</f>
        <v>440844.33</v>
      </c>
      <c r="I24" s="32">
        <v>583636.65</v>
      </c>
      <c r="J24" s="32">
        <f>-6435.13-101153.21-35203.98</f>
        <v>-142792.32000000001</v>
      </c>
      <c r="K24" s="32"/>
      <c r="L24" s="34"/>
      <c r="M24" s="32">
        <v>0</v>
      </c>
      <c r="N24" s="34"/>
      <c r="O24" s="32">
        <v>0</v>
      </c>
      <c r="P24" s="34"/>
      <c r="Q24" s="32">
        <v>0</v>
      </c>
      <c r="R24" s="34"/>
      <c r="S24" s="32">
        <v>0</v>
      </c>
      <c r="T24" s="34"/>
      <c r="U24" s="32">
        <v>0</v>
      </c>
      <c r="V24" s="34"/>
      <c r="W24" s="32">
        <v>0</v>
      </c>
      <c r="X24" s="34"/>
      <c r="Y24" s="32">
        <v>0</v>
      </c>
      <c r="Z24" s="34"/>
      <c r="AA24" s="32">
        <v>0</v>
      </c>
      <c r="AB24" s="34"/>
      <c r="AC24" s="32">
        <v>0</v>
      </c>
      <c r="AE24" s="32">
        <f t="shared" si="1"/>
        <v>440844.33</v>
      </c>
      <c r="AF24" s="32">
        <f t="shared" si="2"/>
        <v>0</v>
      </c>
      <c r="AG24" s="32">
        <f t="shared" si="3"/>
        <v>0</v>
      </c>
      <c r="AH24" s="32">
        <f t="shared" si="4"/>
        <v>0</v>
      </c>
      <c r="AI24" s="32">
        <f t="shared" si="5"/>
        <v>440844.33</v>
      </c>
    </row>
    <row r="25" spans="1:35" s="54" customFormat="1" hidden="1">
      <c r="A25" s="85" t="s">
        <v>77</v>
      </c>
      <c r="B25" s="32">
        <f>SUM(D25:F25)</f>
        <v>1305910.73</v>
      </c>
      <c r="C25" s="34"/>
      <c r="D25" s="32">
        <f>-[1]Eliminaciones!B29-[1]Eliminaciones!B30-1005.08</f>
        <v>-242748.58</v>
      </c>
      <c r="E25" s="34"/>
      <c r="F25" s="32">
        <f t="shared" si="0"/>
        <v>1548659.31</v>
      </c>
      <c r="G25" s="34"/>
      <c r="H25" s="32">
        <f>SUM(I25:K25)</f>
        <v>1280106.1800000002</v>
      </c>
      <c r="I25" s="32">
        <v>1489173.55</v>
      </c>
      <c r="J25" s="32">
        <f>-1295.09-3849.41-43955.18-250-1625-511.82-10429.53-9473.43-609.78-48388.55-195-1910.57-60-22210.72-622-47997.53-9085.43-6583.33</f>
        <v>-209052.37</v>
      </c>
      <c r="K25" s="32">
        <v>-15</v>
      </c>
      <c r="L25" s="34"/>
      <c r="M25" s="32">
        <v>0</v>
      </c>
      <c r="N25" s="34"/>
      <c r="O25" s="32">
        <v>0</v>
      </c>
      <c r="P25" s="34"/>
      <c r="Q25" s="32">
        <v>0</v>
      </c>
      <c r="R25" s="34"/>
      <c r="S25" s="32">
        <v>4604.0200000000004</v>
      </c>
      <c r="T25" s="34"/>
      <c r="U25" s="32">
        <f>20+100</f>
        <v>120</v>
      </c>
      <c r="V25" s="34"/>
      <c r="W25" s="32">
        <f>15083.83+248745.28</f>
        <v>263829.11</v>
      </c>
      <c r="X25" s="34"/>
      <c r="Y25" s="32">
        <v>0</v>
      </c>
      <c r="Z25" s="34"/>
      <c r="AA25" s="32">
        <v>0</v>
      </c>
      <c r="AB25" s="34"/>
      <c r="AC25" s="32">
        <v>0</v>
      </c>
      <c r="AE25" s="32">
        <f t="shared" si="1"/>
        <v>1548539.31</v>
      </c>
      <c r="AF25" s="32">
        <f t="shared" si="2"/>
        <v>0</v>
      </c>
      <c r="AG25" s="32">
        <f t="shared" si="3"/>
        <v>120</v>
      </c>
      <c r="AH25" s="32">
        <f t="shared" si="4"/>
        <v>-242748.58</v>
      </c>
      <c r="AI25" s="32">
        <f t="shared" si="5"/>
        <v>1305910.73</v>
      </c>
    </row>
    <row r="26" spans="1:35" s="54" customFormat="1" hidden="1">
      <c r="A26" s="86" t="s">
        <v>74</v>
      </c>
      <c r="B26" s="32">
        <f t="shared" ref="B26:AC26" si="7">SUM(B17:B25)</f>
        <v>92738680.650000006</v>
      </c>
      <c r="C26" s="34"/>
      <c r="D26" s="32">
        <f t="shared" si="7"/>
        <v>-11308678.58</v>
      </c>
      <c r="E26" s="34"/>
      <c r="F26" s="32">
        <f t="shared" si="7"/>
        <v>104047359.23</v>
      </c>
      <c r="G26" s="34"/>
      <c r="H26" s="32">
        <f t="shared" si="7"/>
        <v>84930042.690000013</v>
      </c>
      <c r="I26" s="32">
        <f t="shared" si="7"/>
        <v>88682556.99000001</v>
      </c>
      <c r="J26" s="32">
        <f t="shared" si="7"/>
        <v>-3752497.3</v>
      </c>
      <c r="K26" s="32">
        <f t="shared" si="7"/>
        <v>-15</v>
      </c>
      <c r="L26" s="34"/>
      <c r="M26" s="32">
        <f t="shared" si="7"/>
        <v>1186183.94</v>
      </c>
      <c r="N26" s="34"/>
      <c r="O26" s="32">
        <f t="shared" si="7"/>
        <v>0</v>
      </c>
      <c r="P26" s="34"/>
      <c r="Q26" s="32">
        <f t="shared" si="7"/>
        <v>113624</v>
      </c>
      <c r="R26" s="34"/>
      <c r="S26" s="32">
        <f t="shared" si="7"/>
        <v>8525892.6500000004</v>
      </c>
      <c r="T26" s="34"/>
      <c r="U26" s="32">
        <f t="shared" si="7"/>
        <v>1387078.1</v>
      </c>
      <c r="V26" s="34"/>
      <c r="W26" s="32">
        <f t="shared" si="7"/>
        <v>6998857.8500000006</v>
      </c>
      <c r="X26" s="34"/>
      <c r="Y26" s="32">
        <f t="shared" si="7"/>
        <v>0</v>
      </c>
      <c r="Z26" s="34"/>
      <c r="AA26" s="32">
        <f t="shared" si="7"/>
        <v>905680</v>
      </c>
      <c r="AB26" s="34"/>
      <c r="AC26" s="32">
        <f t="shared" si="7"/>
        <v>0</v>
      </c>
      <c r="AE26" s="32">
        <f t="shared" si="1"/>
        <v>100454793.19000001</v>
      </c>
      <c r="AF26" s="32">
        <f t="shared" si="2"/>
        <v>113624</v>
      </c>
      <c r="AG26" s="32">
        <f t="shared" si="3"/>
        <v>3478942.04</v>
      </c>
      <c r="AH26" s="32">
        <f t="shared" si="4"/>
        <v>-11308678.58</v>
      </c>
      <c r="AI26" s="32">
        <f t="shared" si="5"/>
        <v>92738680.650000021</v>
      </c>
    </row>
    <row r="27" spans="1:35" s="54" customFormat="1" hidden="1">
      <c r="A27" s="54" t="s">
        <v>78</v>
      </c>
      <c r="B27" s="32">
        <f>SUM(D27:F27)</f>
        <v>1259713.74</v>
      </c>
      <c r="C27" s="34"/>
      <c r="D27" s="32">
        <f>-[1]Eliminaciones!B29-[1]Eliminaciones!B30</f>
        <v>-241743.5</v>
      </c>
      <c r="E27" s="34"/>
      <c r="F27" s="32">
        <f>+H27+M27+O27+Q27+S27+U27+W27+Y27+AA27+AC27</f>
        <v>1501457.24</v>
      </c>
      <c r="G27" s="34"/>
      <c r="H27" s="32">
        <f>SUM(I27:K27)</f>
        <v>1491088.43</v>
      </c>
      <c r="I27" s="32">
        <v>1506500.53</v>
      </c>
      <c r="J27" s="32">
        <v>-15412.1</v>
      </c>
      <c r="K27" s="32">
        <v>0</v>
      </c>
      <c r="L27" s="34"/>
      <c r="M27" s="32">
        <v>0</v>
      </c>
      <c r="N27" s="34"/>
      <c r="O27" s="32">
        <v>0</v>
      </c>
      <c r="P27" s="34"/>
      <c r="Q27" s="32">
        <v>3743.5</v>
      </c>
      <c r="R27" s="34"/>
      <c r="S27" s="32">
        <v>6625.31</v>
      </c>
      <c r="T27" s="34"/>
      <c r="U27" s="32">
        <v>0</v>
      </c>
      <c r="V27" s="34"/>
      <c r="W27" s="32">
        <v>0</v>
      </c>
      <c r="X27" s="34"/>
      <c r="Y27" s="32">
        <v>0</v>
      </c>
      <c r="Z27" s="34"/>
      <c r="AA27" s="32">
        <v>0</v>
      </c>
      <c r="AB27" s="34"/>
      <c r="AC27" s="32">
        <v>0</v>
      </c>
      <c r="AE27" s="32">
        <f t="shared" si="1"/>
        <v>1497713.74</v>
      </c>
      <c r="AF27" s="32">
        <f t="shared" si="2"/>
        <v>3743.5</v>
      </c>
      <c r="AG27" s="32">
        <f t="shared" si="3"/>
        <v>0</v>
      </c>
      <c r="AH27" s="32">
        <f t="shared" si="4"/>
        <v>-241743.5</v>
      </c>
      <c r="AI27" s="32">
        <f t="shared" si="5"/>
        <v>1259713.74</v>
      </c>
    </row>
    <row r="28" spans="1:35" s="54" customFormat="1">
      <c r="B28" s="32"/>
      <c r="C28" s="34"/>
      <c r="D28" s="32"/>
      <c r="E28" s="34"/>
      <c r="F28" s="32"/>
      <c r="G28" s="34"/>
      <c r="H28" s="32"/>
      <c r="I28" s="32"/>
      <c r="J28" s="32"/>
      <c r="K28" s="32"/>
      <c r="L28" s="34"/>
      <c r="M28" s="32"/>
      <c r="N28" s="34"/>
      <c r="O28" s="32"/>
      <c r="P28" s="34"/>
      <c r="Q28" s="32"/>
      <c r="R28" s="34"/>
      <c r="S28" s="32"/>
      <c r="T28" s="34"/>
      <c r="U28" s="32"/>
      <c r="V28" s="34"/>
      <c r="W28" s="32"/>
      <c r="X28" s="34"/>
      <c r="Y28" s="32"/>
      <c r="Z28" s="34"/>
      <c r="AA28" s="32"/>
      <c r="AB28" s="34"/>
      <c r="AC28" s="32"/>
      <c r="AE28" s="32"/>
      <c r="AF28" s="32"/>
      <c r="AG28" s="32"/>
      <c r="AH28" s="32"/>
      <c r="AI28" s="32"/>
    </row>
    <row r="29" spans="1:35" s="54" customFormat="1">
      <c r="A29" s="32" t="s">
        <v>79</v>
      </c>
      <c r="B29" s="32"/>
      <c r="C29" s="34"/>
      <c r="D29" s="32"/>
      <c r="E29" s="34"/>
      <c r="F29" s="32"/>
      <c r="G29" s="34"/>
      <c r="H29" s="32"/>
      <c r="I29" s="32"/>
      <c r="J29" s="32"/>
      <c r="K29" s="32"/>
      <c r="L29" s="34"/>
      <c r="M29" s="32"/>
      <c r="N29" s="34"/>
      <c r="O29" s="32"/>
      <c r="P29" s="34"/>
      <c r="Q29" s="32"/>
      <c r="R29" s="34"/>
      <c r="S29" s="32"/>
      <c r="T29" s="34"/>
      <c r="U29" s="32"/>
      <c r="V29" s="34"/>
      <c r="W29" s="32"/>
      <c r="X29" s="34"/>
      <c r="Y29" s="32"/>
      <c r="Z29" s="34"/>
      <c r="AA29" s="32"/>
      <c r="AB29" s="34"/>
      <c r="AC29" s="32"/>
      <c r="AE29" s="32"/>
      <c r="AF29" s="32"/>
      <c r="AG29" s="32"/>
      <c r="AH29" s="32"/>
      <c r="AI29" s="32"/>
    </row>
    <row r="30" spans="1:35" s="54" customFormat="1">
      <c r="A30" s="87" t="s">
        <v>80</v>
      </c>
      <c r="B30" s="32">
        <f t="shared" ref="B30:B38" si="8">SUM(D30:F30)</f>
        <v>19173921</v>
      </c>
      <c r="C30" s="34"/>
      <c r="D30" s="32">
        <v>-2761538</v>
      </c>
      <c r="E30" s="34"/>
      <c r="F30" s="32">
        <f t="shared" ref="F30:F38" si="9">+H30+M30+O30+Q30+S30+U30+W30+Y30+AA30+AC30</f>
        <v>21935459</v>
      </c>
      <c r="G30" s="34"/>
      <c r="H30" s="32">
        <v>19266079</v>
      </c>
      <c r="I30" s="32">
        <v>19892689</v>
      </c>
      <c r="J30" s="32">
        <v>-626610</v>
      </c>
      <c r="K30" s="32">
        <v>0</v>
      </c>
      <c r="L30" s="34"/>
      <c r="M30" s="32">
        <v>0</v>
      </c>
      <c r="N30" s="34"/>
      <c r="O30" s="32">
        <v>0</v>
      </c>
      <c r="P30" s="34"/>
      <c r="Q30" s="32">
        <v>0</v>
      </c>
      <c r="R30" s="34"/>
      <c r="S30" s="32">
        <v>0</v>
      </c>
      <c r="T30" s="34"/>
      <c r="U30" s="32">
        <v>0</v>
      </c>
      <c r="V30" s="34"/>
      <c r="W30" s="32">
        <v>2669380</v>
      </c>
      <c r="X30" s="34"/>
      <c r="Y30" s="32">
        <v>0</v>
      </c>
      <c r="Z30" s="34"/>
      <c r="AA30" s="32">
        <v>0</v>
      </c>
      <c r="AB30" s="34"/>
      <c r="AC30" s="32">
        <v>0</v>
      </c>
      <c r="AE30" s="32">
        <f t="shared" si="1"/>
        <v>21935459</v>
      </c>
      <c r="AF30" s="32">
        <f t="shared" si="2"/>
        <v>0</v>
      </c>
      <c r="AG30" s="32">
        <f t="shared" si="3"/>
        <v>0</v>
      </c>
      <c r="AH30" s="32">
        <f t="shared" si="4"/>
        <v>-2761538</v>
      </c>
      <c r="AI30" s="32">
        <f t="shared" si="5"/>
        <v>19173921</v>
      </c>
    </row>
    <row r="31" spans="1:35" s="54" customFormat="1">
      <c r="A31" s="87" t="s">
        <v>179</v>
      </c>
      <c r="B31" s="32">
        <f t="shared" si="8"/>
        <v>614276</v>
      </c>
      <c r="C31" s="34"/>
      <c r="D31" s="32">
        <v>-2674387</v>
      </c>
      <c r="E31" s="34"/>
      <c r="F31" s="32">
        <f t="shared" si="9"/>
        <v>3288663</v>
      </c>
      <c r="G31" s="34"/>
      <c r="H31" s="32">
        <v>428207</v>
      </c>
      <c r="I31" s="32">
        <v>428207</v>
      </c>
      <c r="J31" s="32">
        <v>0</v>
      </c>
      <c r="K31" s="32">
        <v>0</v>
      </c>
      <c r="L31" s="34"/>
      <c r="M31" s="32">
        <v>198734</v>
      </c>
      <c r="N31" s="34"/>
      <c r="O31" s="32">
        <v>0</v>
      </c>
      <c r="P31" s="34"/>
      <c r="Q31" s="32">
        <v>0</v>
      </c>
      <c r="R31" s="34"/>
      <c r="S31" s="32">
        <v>2079096</v>
      </c>
      <c r="T31" s="34"/>
      <c r="U31" s="32">
        <v>158647</v>
      </c>
      <c r="V31" s="34"/>
      <c r="W31" s="32">
        <v>0</v>
      </c>
      <c r="X31" s="34"/>
      <c r="Y31" s="32">
        <v>0</v>
      </c>
      <c r="Z31" s="34"/>
      <c r="AA31" s="32">
        <v>319479</v>
      </c>
      <c r="AB31" s="34"/>
      <c r="AC31" s="32">
        <v>104500</v>
      </c>
      <c r="AE31" s="32">
        <f t="shared" si="1"/>
        <v>2507303</v>
      </c>
      <c r="AF31" s="32">
        <f t="shared" si="2"/>
        <v>0</v>
      </c>
      <c r="AG31" s="32">
        <f t="shared" si="3"/>
        <v>781360</v>
      </c>
      <c r="AH31" s="32">
        <f t="shared" si="4"/>
        <v>-2674387</v>
      </c>
      <c r="AI31" s="32">
        <f t="shared" si="5"/>
        <v>614276</v>
      </c>
    </row>
    <row r="32" spans="1:35" s="54" customFormat="1">
      <c r="A32" s="87" t="s">
        <v>51</v>
      </c>
      <c r="B32" s="32">
        <f t="shared" si="8"/>
        <v>1769830</v>
      </c>
      <c r="C32" s="34"/>
      <c r="D32" s="32">
        <v>-97040</v>
      </c>
      <c r="E32" s="34"/>
      <c r="F32" s="32">
        <f t="shared" si="9"/>
        <v>1866870</v>
      </c>
      <c r="G32" s="34"/>
      <c r="H32" s="32">
        <v>1866870</v>
      </c>
      <c r="I32" s="32">
        <v>1866870</v>
      </c>
      <c r="J32" s="32">
        <v>0</v>
      </c>
      <c r="K32" s="32">
        <v>0</v>
      </c>
      <c r="L32" s="34"/>
      <c r="M32" s="32">
        <v>0</v>
      </c>
      <c r="N32" s="34"/>
      <c r="O32" s="32">
        <v>0</v>
      </c>
      <c r="P32" s="34"/>
      <c r="Q32" s="32">
        <v>0</v>
      </c>
      <c r="R32" s="34"/>
      <c r="S32" s="32">
        <v>0</v>
      </c>
      <c r="T32" s="34"/>
      <c r="U32" s="32">
        <v>0</v>
      </c>
      <c r="V32" s="34"/>
      <c r="W32" s="32">
        <v>0</v>
      </c>
      <c r="X32" s="34"/>
      <c r="Y32" s="32">
        <v>0</v>
      </c>
      <c r="Z32" s="34"/>
      <c r="AA32" s="32">
        <v>0</v>
      </c>
      <c r="AB32" s="34"/>
      <c r="AC32" s="32">
        <v>0</v>
      </c>
      <c r="AE32" s="32">
        <f t="shared" si="1"/>
        <v>1866870</v>
      </c>
      <c r="AF32" s="32">
        <f t="shared" si="2"/>
        <v>0</v>
      </c>
      <c r="AG32" s="32">
        <f t="shared" si="3"/>
        <v>0</v>
      </c>
      <c r="AH32" s="32">
        <f t="shared" si="4"/>
        <v>-97040</v>
      </c>
      <c r="AI32" s="32">
        <f t="shared" si="5"/>
        <v>1769830</v>
      </c>
    </row>
    <row r="33" spans="1:35" s="54" customFormat="1" hidden="1">
      <c r="A33" s="88" t="s">
        <v>81</v>
      </c>
      <c r="B33" s="32">
        <f t="shared" si="8"/>
        <v>16670853.180000002</v>
      </c>
      <c r="C33" s="34"/>
      <c r="D33" s="32">
        <v>0</v>
      </c>
      <c r="E33" s="34"/>
      <c r="F33" s="32">
        <f t="shared" si="9"/>
        <v>16670853.180000002</v>
      </c>
      <c r="G33" s="34"/>
      <c r="H33" s="32">
        <f t="shared" ref="H33:H38" si="10">SUM(I33:K33)</f>
        <v>16337270.130000001</v>
      </c>
      <c r="I33" s="32">
        <f>16554784.96-1587.33+361.11</f>
        <v>16553558.74</v>
      </c>
      <c r="J33" s="32">
        <f>-31456.37-184832.24</f>
        <v>-216288.61</v>
      </c>
      <c r="K33" s="32"/>
      <c r="L33" s="34"/>
      <c r="M33" s="32">
        <v>0</v>
      </c>
      <c r="N33" s="34"/>
      <c r="O33" s="32">
        <v>0</v>
      </c>
      <c r="P33" s="34"/>
      <c r="Q33" s="32">
        <v>0</v>
      </c>
      <c r="R33" s="34"/>
      <c r="S33" s="32"/>
      <c r="T33" s="34"/>
      <c r="U33" s="32">
        <v>0</v>
      </c>
      <c r="V33" s="34"/>
      <c r="W33" s="32">
        <v>333583.05</v>
      </c>
      <c r="X33" s="34"/>
      <c r="Y33" s="32">
        <v>0</v>
      </c>
      <c r="Z33" s="34"/>
      <c r="AA33" s="32">
        <v>0</v>
      </c>
      <c r="AB33" s="34"/>
      <c r="AC33" s="32">
        <v>0</v>
      </c>
      <c r="AE33" s="32">
        <f t="shared" si="1"/>
        <v>16670853.180000002</v>
      </c>
      <c r="AF33" s="32">
        <f t="shared" si="2"/>
        <v>0</v>
      </c>
      <c r="AG33" s="32">
        <f t="shared" si="3"/>
        <v>0</v>
      </c>
      <c r="AH33" s="32">
        <f t="shared" si="4"/>
        <v>0</v>
      </c>
      <c r="AI33" s="32">
        <f t="shared" si="5"/>
        <v>16670853.180000002</v>
      </c>
    </row>
    <row r="34" spans="1:35" s="54" customFormat="1" hidden="1">
      <c r="A34" s="88" t="s">
        <v>82</v>
      </c>
      <c r="B34" s="32">
        <f t="shared" si="8"/>
        <v>1117975.52</v>
      </c>
      <c r="C34" s="34"/>
      <c r="D34" s="32">
        <f>-[1]Eliminaciones!B23-[1]Eliminaciones!B24</f>
        <v>-2646915.5</v>
      </c>
      <c r="E34" s="34"/>
      <c r="F34" s="32">
        <f t="shared" si="9"/>
        <v>3764891.02</v>
      </c>
      <c r="G34" s="34"/>
      <c r="H34" s="32">
        <f t="shared" si="10"/>
        <v>1459644.2400000002</v>
      </c>
      <c r="I34" s="32">
        <f>1627162.59+113+48.34</f>
        <v>1627323.9300000002</v>
      </c>
      <c r="J34" s="32">
        <v>-167679.69</v>
      </c>
      <c r="K34" s="32"/>
      <c r="L34" s="34"/>
      <c r="M34" s="32">
        <v>0</v>
      </c>
      <c r="N34" s="34"/>
      <c r="O34" s="32">
        <v>0</v>
      </c>
      <c r="P34" s="34"/>
      <c r="Q34" s="32">
        <v>0</v>
      </c>
      <c r="R34" s="34"/>
      <c r="S34" s="32"/>
      <c r="T34" s="34"/>
      <c r="U34" s="32">
        <v>0</v>
      </c>
      <c r="V34" s="34"/>
      <c r="W34" s="32">
        <v>2305246.7799999998</v>
      </c>
      <c r="X34" s="34"/>
      <c r="Y34" s="32">
        <v>0</v>
      </c>
      <c r="Z34" s="34"/>
      <c r="AA34" s="32">
        <v>0</v>
      </c>
      <c r="AB34" s="34"/>
      <c r="AC34" s="32">
        <v>0</v>
      </c>
      <c r="AE34" s="32">
        <f t="shared" si="1"/>
        <v>3764891.02</v>
      </c>
      <c r="AF34" s="32">
        <f t="shared" si="2"/>
        <v>0</v>
      </c>
      <c r="AG34" s="32">
        <f t="shared" si="3"/>
        <v>0</v>
      </c>
      <c r="AH34" s="32">
        <f t="shared" si="4"/>
        <v>-2646915.5</v>
      </c>
      <c r="AI34" s="32">
        <f t="shared" si="5"/>
        <v>1117975.52</v>
      </c>
    </row>
    <row r="35" spans="1:35" s="54" customFormat="1" hidden="1">
      <c r="A35" s="88" t="s">
        <v>83</v>
      </c>
      <c r="B35" s="32">
        <f t="shared" si="8"/>
        <v>1385091.56</v>
      </c>
      <c r="C35" s="34"/>
      <c r="D35" s="32">
        <f>-[1]Eliminaciones!B25-[1]Eliminaciones!B26</f>
        <v>-114622.8</v>
      </c>
      <c r="E35" s="34"/>
      <c r="F35" s="32">
        <f t="shared" si="9"/>
        <v>1499714.36</v>
      </c>
      <c r="G35" s="34"/>
      <c r="H35" s="32">
        <f t="shared" si="10"/>
        <v>1469164.56</v>
      </c>
      <c r="I35" s="32">
        <f>1530563.96+181242.23</f>
        <v>1711806.19</v>
      </c>
      <c r="J35" s="32">
        <f>-222710.05-19931.58</f>
        <v>-242641.63</v>
      </c>
      <c r="K35" s="32"/>
      <c r="L35" s="34"/>
      <c r="M35" s="32">
        <v>0</v>
      </c>
      <c r="N35" s="34"/>
      <c r="O35" s="32">
        <v>0</v>
      </c>
      <c r="P35" s="34"/>
      <c r="Q35" s="32">
        <v>0</v>
      </c>
      <c r="R35" s="34"/>
      <c r="S35" s="32"/>
      <c r="T35" s="34"/>
      <c r="U35" s="32">
        <v>0</v>
      </c>
      <c r="V35" s="34"/>
      <c r="W35" s="32">
        <v>30549.8</v>
      </c>
      <c r="X35" s="34"/>
      <c r="Y35" s="32">
        <v>0</v>
      </c>
      <c r="Z35" s="34"/>
      <c r="AA35" s="32">
        <v>0</v>
      </c>
      <c r="AB35" s="34"/>
      <c r="AC35" s="32">
        <v>0</v>
      </c>
      <c r="AE35" s="32">
        <f t="shared" si="1"/>
        <v>1499714.36</v>
      </c>
      <c r="AF35" s="32">
        <f t="shared" si="2"/>
        <v>0</v>
      </c>
      <c r="AG35" s="32">
        <f t="shared" si="3"/>
        <v>0</v>
      </c>
      <c r="AH35" s="32">
        <f t="shared" si="4"/>
        <v>-114622.8</v>
      </c>
      <c r="AI35" s="32">
        <f t="shared" si="5"/>
        <v>1385091.56</v>
      </c>
    </row>
    <row r="36" spans="1:35" s="54" customFormat="1" hidden="1">
      <c r="A36" s="88" t="s">
        <v>84</v>
      </c>
      <c r="B36" s="32">
        <f t="shared" si="8"/>
        <v>1769830.29</v>
      </c>
      <c r="C36" s="34"/>
      <c r="D36" s="32">
        <f>+D19</f>
        <v>-97040</v>
      </c>
      <c r="E36" s="34"/>
      <c r="F36" s="32">
        <f t="shared" si="9"/>
        <v>1866870.29</v>
      </c>
      <c r="G36" s="34"/>
      <c r="H36" s="32">
        <f t="shared" si="10"/>
        <v>1866870.29</v>
      </c>
      <c r="I36" s="32">
        <v>1866870.29</v>
      </c>
      <c r="J36" s="32"/>
      <c r="K36" s="32"/>
      <c r="L36" s="34"/>
      <c r="M36" s="32">
        <v>0</v>
      </c>
      <c r="N36" s="34"/>
      <c r="O36" s="32">
        <v>0</v>
      </c>
      <c r="P36" s="34"/>
      <c r="Q36" s="32">
        <v>0</v>
      </c>
      <c r="R36" s="34"/>
      <c r="S36" s="32"/>
      <c r="T36" s="34"/>
      <c r="U36" s="32">
        <v>0</v>
      </c>
      <c r="V36" s="34"/>
      <c r="W36" s="32">
        <v>0</v>
      </c>
      <c r="X36" s="34"/>
      <c r="Y36" s="32">
        <v>0</v>
      </c>
      <c r="Z36" s="34"/>
      <c r="AA36" s="32">
        <v>0</v>
      </c>
      <c r="AB36" s="34"/>
      <c r="AC36" s="32">
        <v>0</v>
      </c>
      <c r="AE36" s="32">
        <f t="shared" si="1"/>
        <v>1866870.29</v>
      </c>
      <c r="AF36" s="32">
        <f t="shared" si="2"/>
        <v>0</v>
      </c>
      <c r="AG36" s="32">
        <f t="shared" si="3"/>
        <v>0</v>
      </c>
      <c r="AH36" s="32">
        <f t="shared" si="4"/>
        <v>-97040</v>
      </c>
      <c r="AI36" s="32">
        <f t="shared" si="5"/>
        <v>1769830.29</v>
      </c>
    </row>
    <row r="37" spans="1:35" s="54" customFormat="1" hidden="1">
      <c r="A37" s="88" t="s">
        <v>85</v>
      </c>
      <c r="B37" s="32">
        <f t="shared" si="8"/>
        <v>0</v>
      </c>
      <c r="C37" s="34"/>
      <c r="D37" s="32">
        <v>0</v>
      </c>
      <c r="E37" s="34"/>
      <c r="F37" s="32">
        <f t="shared" si="9"/>
        <v>0</v>
      </c>
      <c r="G37" s="34"/>
      <c r="H37" s="32">
        <f t="shared" si="10"/>
        <v>0</v>
      </c>
      <c r="I37" s="32"/>
      <c r="J37" s="32"/>
      <c r="K37" s="32"/>
      <c r="L37" s="34"/>
      <c r="M37" s="32">
        <v>0</v>
      </c>
      <c r="N37" s="34"/>
      <c r="O37" s="32">
        <v>0</v>
      </c>
      <c r="P37" s="34"/>
      <c r="Q37" s="32">
        <v>0</v>
      </c>
      <c r="R37" s="34"/>
      <c r="S37" s="32">
        <v>0</v>
      </c>
      <c r="T37" s="34"/>
      <c r="U37" s="32">
        <v>0</v>
      </c>
      <c r="V37" s="34"/>
      <c r="W37" s="32">
        <v>0</v>
      </c>
      <c r="X37" s="34"/>
      <c r="Y37" s="32">
        <v>0</v>
      </c>
      <c r="Z37" s="34"/>
      <c r="AA37" s="32">
        <v>0</v>
      </c>
      <c r="AB37" s="34"/>
      <c r="AC37" s="32">
        <v>0</v>
      </c>
      <c r="AE37" s="32">
        <f t="shared" si="1"/>
        <v>0</v>
      </c>
      <c r="AF37" s="32">
        <f t="shared" si="2"/>
        <v>0</v>
      </c>
      <c r="AG37" s="32">
        <f t="shared" si="3"/>
        <v>0</v>
      </c>
      <c r="AH37" s="32">
        <f t="shared" si="4"/>
        <v>0</v>
      </c>
      <c r="AI37" s="32">
        <f t="shared" si="5"/>
        <v>0</v>
      </c>
    </row>
    <row r="38" spans="1:35" s="54" customFormat="1" hidden="1">
      <c r="A38" s="88" t="s">
        <v>86</v>
      </c>
      <c r="B38" s="32">
        <f t="shared" si="8"/>
        <v>614275.41000000015</v>
      </c>
      <c r="C38" s="34"/>
      <c r="D38" s="32">
        <f>+D17</f>
        <v>-2674387</v>
      </c>
      <c r="E38" s="34"/>
      <c r="F38" s="32">
        <f t="shared" si="9"/>
        <v>3288662.41</v>
      </c>
      <c r="G38" s="34"/>
      <c r="H38" s="32">
        <f t="shared" si="10"/>
        <v>428206.66</v>
      </c>
      <c r="I38" s="32">
        <f>402331.66+25875</f>
        <v>428206.66</v>
      </c>
      <c r="J38" s="32"/>
      <c r="K38" s="32"/>
      <c r="L38" s="34"/>
      <c r="M38" s="32">
        <f>120621.67+78112.03</f>
        <v>198733.7</v>
      </c>
      <c r="N38" s="34"/>
      <c r="O38" s="32">
        <v>0</v>
      </c>
      <c r="P38" s="34"/>
      <c r="Q38" s="32">
        <v>0</v>
      </c>
      <c r="R38" s="34"/>
      <c r="S38" s="32">
        <f>2079212.27-115.8</f>
        <v>2079096.47</v>
      </c>
      <c r="T38" s="34"/>
      <c r="U38" s="32">
        <f>17809.97+88411.69+52425.3</f>
        <v>158646.96000000002</v>
      </c>
      <c r="V38" s="34"/>
      <c r="W38" s="32">
        <v>0</v>
      </c>
      <c r="X38" s="34"/>
      <c r="Y38" s="32">
        <v>0</v>
      </c>
      <c r="Z38" s="34"/>
      <c r="AA38" s="32">
        <v>319479.12</v>
      </c>
      <c r="AB38" s="34"/>
      <c r="AC38" s="32">
        <f>104497.5+2</f>
        <v>104499.5</v>
      </c>
      <c r="AE38" s="32">
        <f t="shared" si="1"/>
        <v>2507303.13</v>
      </c>
      <c r="AF38" s="32">
        <f t="shared" si="2"/>
        <v>0</v>
      </c>
      <c r="AG38" s="32">
        <f t="shared" si="3"/>
        <v>781359.28</v>
      </c>
      <c r="AH38" s="32">
        <f t="shared" si="4"/>
        <v>-2674387</v>
      </c>
      <c r="AI38" s="32">
        <f t="shared" si="5"/>
        <v>614275.41000000015</v>
      </c>
    </row>
    <row r="39" spans="1:35" s="54" customFormat="1">
      <c r="A39" s="86" t="s">
        <v>87</v>
      </c>
      <c r="B39" s="33">
        <f>+B30+B31+B32</f>
        <v>21558027</v>
      </c>
      <c r="C39" s="34"/>
      <c r="D39" s="33">
        <f t="shared" ref="D39:AC39" si="11">+D30+D31+D32</f>
        <v>-5532965</v>
      </c>
      <c r="E39" s="34"/>
      <c r="F39" s="33">
        <f t="shared" si="11"/>
        <v>27090992</v>
      </c>
      <c r="G39" s="34"/>
      <c r="H39" s="33">
        <f t="shared" si="11"/>
        <v>21561156</v>
      </c>
      <c r="I39" s="33">
        <f t="shared" si="11"/>
        <v>22187766</v>
      </c>
      <c r="J39" s="33">
        <f t="shared" si="11"/>
        <v>-626610</v>
      </c>
      <c r="K39" s="33">
        <f t="shared" si="11"/>
        <v>0</v>
      </c>
      <c r="L39" s="34"/>
      <c r="M39" s="33">
        <f t="shared" si="11"/>
        <v>198734</v>
      </c>
      <c r="N39" s="34"/>
      <c r="O39" s="33">
        <f t="shared" si="11"/>
        <v>0</v>
      </c>
      <c r="P39" s="34"/>
      <c r="Q39" s="33">
        <f t="shared" si="11"/>
        <v>0</v>
      </c>
      <c r="R39" s="34"/>
      <c r="S39" s="33">
        <f t="shared" si="11"/>
        <v>2079096</v>
      </c>
      <c r="T39" s="34"/>
      <c r="U39" s="33">
        <f t="shared" si="11"/>
        <v>158647</v>
      </c>
      <c r="V39" s="34"/>
      <c r="W39" s="33">
        <f t="shared" si="11"/>
        <v>2669380</v>
      </c>
      <c r="X39" s="34"/>
      <c r="Y39" s="33">
        <f t="shared" si="11"/>
        <v>0</v>
      </c>
      <c r="Z39" s="34"/>
      <c r="AA39" s="33">
        <f t="shared" si="11"/>
        <v>319479</v>
      </c>
      <c r="AB39" s="34"/>
      <c r="AC39" s="33">
        <f t="shared" si="11"/>
        <v>104500</v>
      </c>
      <c r="AE39" s="33">
        <f t="shared" si="1"/>
        <v>26309632</v>
      </c>
      <c r="AF39" s="33">
        <f t="shared" si="2"/>
        <v>0</v>
      </c>
      <c r="AG39" s="33">
        <f t="shared" si="3"/>
        <v>781360</v>
      </c>
      <c r="AH39" s="33">
        <f t="shared" si="4"/>
        <v>-5532965</v>
      </c>
      <c r="AI39" s="33">
        <f t="shared" si="5"/>
        <v>21558027</v>
      </c>
    </row>
    <row r="40" spans="1:35" s="54" customFormat="1">
      <c r="A40" s="86" t="s">
        <v>88</v>
      </c>
      <c r="B40" s="32">
        <f t="shared" ref="B40:AC40" si="12">+B21-B39</f>
        <v>20903346</v>
      </c>
      <c r="C40" s="34"/>
      <c r="D40" s="32">
        <f t="shared" si="12"/>
        <v>0</v>
      </c>
      <c r="E40" s="34"/>
      <c r="F40" s="32">
        <f t="shared" si="12"/>
        <v>20903346</v>
      </c>
      <c r="G40" s="34"/>
      <c r="H40" s="32">
        <f t="shared" si="12"/>
        <v>17474043</v>
      </c>
      <c r="I40" s="32">
        <f t="shared" si="12"/>
        <v>18499184</v>
      </c>
      <c r="J40" s="32">
        <f t="shared" si="12"/>
        <v>-1025140</v>
      </c>
      <c r="K40" s="32">
        <f t="shared" si="12"/>
        <v>0</v>
      </c>
      <c r="L40" s="34"/>
      <c r="M40" s="32">
        <f t="shared" si="12"/>
        <v>367923</v>
      </c>
      <c r="N40" s="34"/>
      <c r="O40" s="32">
        <f t="shared" si="12"/>
        <v>0</v>
      </c>
      <c r="P40" s="34"/>
      <c r="Q40" s="32">
        <f t="shared" si="12"/>
        <v>56812</v>
      </c>
      <c r="R40" s="34"/>
      <c r="S40" s="32">
        <f t="shared" si="12"/>
        <v>1794286</v>
      </c>
      <c r="T40" s="34"/>
      <c r="U40" s="32">
        <f t="shared" si="12"/>
        <v>483770</v>
      </c>
      <c r="V40" s="34"/>
      <c r="W40" s="32">
        <f t="shared" si="12"/>
        <v>697651</v>
      </c>
      <c r="X40" s="34"/>
      <c r="Y40" s="32">
        <f t="shared" si="12"/>
        <v>0</v>
      </c>
      <c r="Z40" s="34"/>
      <c r="AA40" s="32">
        <f t="shared" si="12"/>
        <v>133361</v>
      </c>
      <c r="AB40" s="34"/>
      <c r="AC40" s="32">
        <f t="shared" si="12"/>
        <v>-104500</v>
      </c>
      <c r="AE40" s="32">
        <f t="shared" si="1"/>
        <v>19965980</v>
      </c>
      <c r="AF40" s="32">
        <f t="shared" si="2"/>
        <v>56812</v>
      </c>
      <c r="AG40" s="32">
        <f t="shared" si="3"/>
        <v>880554</v>
      </c>
      <c r="AH40" s="32">
        <f t="shared" si="4"/>
        <v>0</v>
      </c>
      <c r="AI40" s="32">
        <f t="shared" si="5"/>
        <v>20903346</v>
      </c>
    </row>
    <row r="41" spans="1:35" s="54" customFormat="1">
      <c r="B41" s="32"/>
      <c r="C41" s="34"/>
      <c r="D41" s="32"/>
      <c r="E41" s="34"/>
      <c r="F41" s="32"/>
      <c r="G41" s="34"/>
      <c r="H41" s="32"/>
      <c r="I41" s="32"/>
      <c r="J41" s="32"/>
      <c r="K41" s="32"/>
      <c r="L41" s="34"/>
      <c r="M41" s="32"/>
      <c r="N41" s="34"/>
      <c r="O41" s="32"/>
      <c r="P41" s="34"/>
      <c r="Q41" s="32"/>
      <c r="R41" s="34"/>
      <c r="S41" s="32"/>
      <c r="T41" s="34"/>
      <c r="U41" s="32"/>
      <c r="V41" s="34"/>
      <c r="W41" s="32"/>
      <c r="X41" s="34"/>
      <c r="Y41" s="32"/>
      <c r="Z41" s="34"/>
      <c r="AA41" s="32"/>
      <c r="AB41" s="34"/>
      <c r="AC41" s="32"/>
      <c r="AE41" s="32"/>
      <c r="AF41" s="32"/>
      <c r="AG41" s="32"/>
      <c r="AH41" s="32"/>
      <c r="AI41" s="32"/>
    </row>
    <row r="42" spans="1:35" s="54" customFormat="1">
      <c r="A42" s="87" t="s">
        <v>89</v>
      </c>
      <c r="B42" s="32">
        <f>SUM(D42:F42)</f>
        <v>2248338</v>
      </c>
      <c r="C42" s="34"/>
      <c r="D42" s="32">
        <v>0</v>
      </c>
      <c r="E42" s="34"/>
      <c r="F42" s="32">
        <f>+H42+M42+O42+Q42+S42+U42+W42+Y42+AA42+AC42</f>
        <v>2248338</v>
      </c>
      <c r="G42" s="34"/>
      <c r="H42" s="32">
        <v>1781014</v>
      </c>
      <c r="I42" s="32">
        <v>1831159</v>
      </c>
      <c r="J42" s="32">
        <v>-2012</v>
      </c>
      <c r="K42" s="32">
        <v>0</v>
      </c>
      <c r="L42" s="34"/>
      <c r="M42" s="32">
        <v>109324</v>
      </c>
      <c r="N42" s="34"/>
      <c r="O42" s="32">
        <v>0</v>
      </c>
      <c r="P42" s="34"/>
      <c r="Q42" s="32">
        <v>0</v>
      </c>
      <c r="R42" s="34"/>
      <c r="S42" s="32">
        <v>298000</v>
      </c>
      <c r="T42" s="34"/>
      <c r="U42" s="32">
        <v>60000</v>
      </c>
      <c r="V42" s="34"/>
      <c r="W42" s="32">
        <v>0</v>
      </c>
      <c r="X42" s="34"/>
      <c r="Y42" s="32">
        <v>0</v>
      </c>
      <c r="Z42" s="34"/>
      <c r="AA42" s="32">
        <v>0</v>
      </c>
      <c r="AB42" s="34"/>
      <c r="AC42" s="32">
        <v>0</v>
      </c>
      <c r="AE42" s="32">
        <f t="shared" si="1"/>
        <v>2079014</v>
      </c>
      <c r="AF42" s="32">
        <f t="shared" si="2"/>
        <v>0</v>
      </c>
      <c r="AG42" s="32">
        <f t="shared" si="3"/>
        <v>169324</v>
      </c>
      <c r="AH42" s="32">
        <f t="shared" si="4"/>
        <v>0</v>
      </c>
      <c r="AI42" s="32">
        <f t="shared" si="5"/>
        <v>2248338</v>
      </c>
    </row>
    <row r="43" spans="1:35" s="54" customFormat="1">
      <c r="A43" s="86" t="s">
        <v>90</v>
      </c>
      <c r="B43" s="33">
        <f>+B40-B42</f>
        <v>18655008</v>
      </c>
      <c r="C43" s="34"/>
      <c r="D43" s="33">
        <f>+D40-D42</f>
        <v>0</v>
      </c>
      <c r="E43" s="34"/>
      <c r="F43" s="33">
        <f>+F40-F42</f>
        <v>18655008</v>
      </c>
      <c r="G43" s="34"/>
      <c r="H43" s="33">
        <f>+H40-H42</f>
        <v>15693029</v>
      </c>
      <c r="I43" s="33" t="e">
        <f>+I40-I42-#REF!</f>
        <v>#REF!</v>
      </c>
      <c r="J43" s="33" t="e">
        <f>+J40-J42-#REF!</f>
        <v>#REF!</v>
      </c>
      <c r="K43" s="33" t="e">
        <f>+K40-K42-#REF!</f>
        <v>#REF!</v>
      </c>
      <c r="L43" s="34"/>
      <c r="M43" s="33">
        <f>+M40-M42</f>
        <v>258599</v>
      </c>
      <c r="N43" s="34"/>
      <c r="O43" s="33">
        <f>+O40-O42</f>
        <v>0</v>
      </c>
      <c r="P43" s="34"/>
      <c r="Q43" s="33">
        <f>+Q40-Q42</f>
        <v>56812</v>
      </c>
      <c r="R43" s="34"/>
      <c r="S43" s="33">
        <f>+S40-S42</f>
        <v>1496286</v>
      </c>
      <c r="T43" s="34"/>
      <c r="U43" s="33">
        <f>+U40-U42</f>
        <v>423770</v>
      </c>
      <c r="V43" s="34"/>
      <c r="W43" s="33">
        <f>+W40-W42</f>
        <v>697651</v>
      </c>
      <c r="X43" s="34"/>
      <c r="Y43" s="33">
        <f>+Y40-Y42</f>
        <v>0</v>
      </c>
      <c r="Z43" s="34"/>
      <c r="AA43" s="33">
        <f>+AA40-AA42</f>
        <v>133361</v>
      </c>
      <c r="AB43" s="34"/>
      <c r="AC43" s="33">
        <f>+AC40-AC42</f>
        <v>-104500</v>
      </c>
      <c r="AE43" s="33">
        <f t="shared" si="1"/>
        <v>17886966</v>
      </c>
      <c r="AF43" s="33">
        <f t="shared" si="2"/>
        <v>56812</v>
      </c>
      <c r="AG43" s="33">
        <f t="shared" si="3"/>
        <v>711230</v>
      </c>
      <c r="AH43" s="33">
        <f t="shared" si="4"/>
        <v>0</v>
      </c>
      <c r="AI43" s="33">
        <f t="shared" si="5"/>
        <v>18655008</v>
      </c>
    </row>
    <row r="44" spans="1:35" s="54" customFormat="1">
      <c r="A44" s="69"/>
      <c r="B44" s="32"/>
      <c r="C44" s="34"/>
      <c r="D44" s="32"/>
      <c r="E44" s="34"/>
      <c r="F44" s="32"/>
      <c r="G44" s="34"/>
      <c r="H44" s="32"/>
      <c r="I44" s="32"/>
      <c r="J44" s="32"/>
      <c r="K44" s="32"/>
      <c r="L44" s="34"/>
      <c r="M44" s="32"/>
      <c r="N44" s="34"/>
      <c r="O44" s="32"/>
      <c r="P44" s="34"/>
      <c r="Q44" s="32"/>
      <c r="R44" s="34"/>
      <c r="S44" s="32"/>
      <c r="T44" s="34"/>
      <c r="U44" s="32"/>
      <c r="V44" s="34"/>
      <c r="W44" s="32"/>
      <c r="X44" s="34"/>
      <c r="Y44" s="32"/>
      <c r="Z44" s="34"/>
      <c r="AA44" s="32"/>
      <c r="AB44" s="34"/>
      <c r="AC44" s="32"/>
      <c r="AE44" s="32"/>
      <c r="AF44" s="32"/>
      <c r="AG44" s="32"/>
      <c r="AH44" s="32"/>
      <c r="AI44" s="32"/>
    </row>
    <row r="45" spans="1:35" s="54" customFormat="1">
      <c r="A45" s="32" t="s">
        <v>91</v>
      </c>
      <c r="B45" s="32"/>
      <c r="C45" s="34"/>
      <c r="D45" s="32"/>
      <c r="E45" s="34"/>
      <c r="F45" s="32"/>
      <c r="G45" s="34"/>
      <c r="H45" s="32"/>
      <c r="I45" s="32"/>
      <c r="J45" s="32"/>
      <c r="K45" s="32"/>
      <c r="L45" s="34"/>
      <c r="M45" s="32"/>
      <c r="N45" s="34"/>
      <c r="O45" s="32"/>
      <c r="P45" s="34"/>
      <c r="Q45" s="32"/>
      <c r="R45" s="34"/>
      <c r="S45" s="32"/>
      <c r="T45" s="34"/>
      <c r="U45" s="32"/>
      <c r="V45" s="34"/>
      <c r="W45" s="32"/>
      <c r="X45" s="34"/>
      <c r="Y45" s="32"/>
      <c r="Z45" s="34"/>
      <c r="AA45" s="32"/>
      <c r="AB45" s="34"/>
      <c r="AC45" s="32"/>
      <c r="AE45" s="32"/>
      <c r="AF45" s="32"/>
      <c r="AG45" s="32"/>
      <c r="AH45" s="32"/>
      <c r="AI45" s="32"/>
    </row>
    <row r="46" spans="1:35" s="54" customFormat="1">
      <c r="A46" s="87" t="s">
        <v>92</v>
      </c>
      <c r="B46" s="32">
        <f t="shared" ref="B46:B51" si="13">SUM(D46:F46)</f>
        <v>1728484</v>
      </c>
      <c r="C46" s="34"/>
      <c r="D46" s="32">
        <v>-242749</v>
      </c>
      <c r="E46" s="34"/>
      <c r="F46" s="32">
        <f>+H46+M46+O46+Q46+S46+U46+W46+Y46+AA46+AC46</f>
        <v>1971233</v>
      </c>
      <c r="G46" s="34"/>
      <c r="H46" s="32">
        <v>1702680</v>
      </c>
      <c r="I46" s="32">
        <v>2072810</v>
      </c>
      <c r="J46" s="32">
        <v>-351845</v>
      </c>
      <c r="K46" s="32">
        <v>-15</v>
      </c>
      <c r="L46" s="34"/>
      <c r="M46" s="32">
        <v>0</v>
      </c>
      <c r="N46" s="34"/>
      <c r="O46" s="32">
        <v>0</v>
      </c>
      <c r="P46" s="34"/>
      <c r="Q46" s="32">
        <v>0</v>
      </c>
      <c r="R46" s="34"/>
      <c r="S46" s="32">
        <v>4604</v>
      </c>
      <c r="T46" s="34"/>
      <c r="U46" s="32">
        <v>120</v>
      </c>
      <c r="V46" s="34"/>
      <c r="W46" s="32">
        <v>263829</v>
      </c>
      <c r="X46" s="34"/>
      <c r="Y46" s="32">
        <v>0</v>
      </c>
      <c r="Z46" s="34"/>
      <c r="AA46" s="32">
        <v>0</v>
      </c>
      <c r="AB46" s="34"/>
      <c r="AC46" s="32">
        <v>0</v>
      </c>
      <c r="AE46" s="32">
        <f t="shared" si="1"/>
        <v>1971113</v>
      </c>
      <c r="AF46" s="32">
        <f t="shared" si="2"/>
        <v>0</v>
      </c>
      <c r="AG46" s="32">
        <f t="shared" si="3"/>
        <v>120</v>
      </c>
      <c r="AH46" s="32">
        <f t="shared" si="4"/>
        <v>-242749</v>
      </c>
      <c r="AI46" s="32">
        <f t="shared" si="5"/>
        <v>1728484</v>
      </c>
    </row>
    <row r="47" spans="1:35" s="54" customFormat="1">
      <c r="A47" s="87" t="s">
        <v>157</v>
      </c>
      <c r="B47" s="32">
        <f t="shared" si="13"/>
        <v>-150684</v>
      </c>
      <c r="C47" s="34"/>
      <c r="D47" s="32">
        <v>0</v>
      </c>
      <c r="E47" s="34"/>
      <c r="F47" s="32">
        <v>-150684</v>
      </c>
      <c r="G47" s="34"/>
      <c r="H47" s="32">
        <v>-150684</v>
      </c>
      <c r="I47" s="32">
        <v>2072810</v>
      </c>
      <c r="J47" s="32">
        <v>-351845</v>
      </c>
      <c r="K47" s="32">
        <v>-15</v>
      </c>
      <c r="L47" s="34"/>
      <c r="M47" s="32">
        <v>0</v>
      </c>
      <c r="N47" s="34"/>
      <c r="O47" s="32">
        <v>0</v>
      </c>
      <c r="P47" s="34"/>
      <c r="Q47" s="32">
        <v>0</v>
      </c>
      <c r="R47" s="34"/>
      <c r="S47" s="32">
        <v>0</v>
      </c>
      <c r="T47" s="34"/>
      <c r="U47" s="32">
        <v>0</v>
      </c>
      <c r="V47" s="34"/>
      <c r="W47" s="32">
        <v>0</v>
      </c>
      <c r="X47" s="34"/>
      <c r="Y47" s="32">
        <v>0</v>
      </c>
      <c r="Z47" s="34"/>
      <c r="AA47" s="32">
        <v>0</v>
      </c>
      <c r="AB47" s="34"/>
      <c r="AC47" s="32">
        <v>0</v>
      </c>
      <c r="AE47" s="32"/>
      <c r="AF47" s="32"/>
      <c r="AG47" s="32"/>
      <c r="AH47" s="32"/>
      <c r="AI47" s="32"/>
    </row>
    <row r="48" spans="1:35" s="54" customFormat="1">
      <c r="A48" s="87" t="s">
        <v>171</v>
      </c>
      <c r="B48" s="32">
        <f t="shared" si="13"/>
        <v>1418900</v>
      </c>
      <c r="C48" s="34"/>
      <c r="D48" s="32">
        <v>0</v>
      </c>
      <c r="E48" s="34"/>
      <c r="F48" s="32">
        <f>+H48+M48+O48+Q48+S48+U48+W48+Y48+AA48+AC48</f>
        <v>1418900</v>
      </c>
      <c r="G48" s="34"/>
      <c r="H48" s="32">
        <v>1418900</v>
      </c>
      <c r="I48" s="32">
        <v>1418900</v>
      </c>
      <c r="J48" s="32">
        <v>0</v>
      </c>
      <c r="K48" s="32">
        <v>0</v>
      </c>
      <c r="L48" s="34"/>
      <c r="M48" s="32">
        <v>0</v>
      </c>
      <c r="N48" s="34"/>
      <c r="O48" s="32">
        <v>0</v>
      </c>
      <c r="P48" s="34"/>
      <c r="Q48" s="32">
        <v>0</v>
      </c>
      <c r="R48" s="34"/>
      <c r="S48" s="32">
        <v>0</v>
      </c>
      <c r="T48" s="34"/>
      <c r="U48" s="32">
        <v>0</v>
      </c>
      <c r="V48" s="34"/>
      <c r="W48" s="32">
        <v>0</v>
      </c>
      <c r="X48" s="34"/>
      <c r="Y48" s="32">
        <v>0</v>
      </c>
      <c r="Z48" s="34"/>
      <c r="AA48" s="32">
        <v>0</v>
      </c>
      <c r="AB48" s="34"/>
      <c r="AC48" s="32">
        <v>0</v>
      </c>
      <c r="AE48" s="32">
        <f t="shared" si="1"/>
        <v>1418900</v>
      </c>
      <c r="AF48" s="32">
        <f t="shared" si="2"/>
        <v>0</v>
      </c>
      <c r="AG48" s="32">
        <f t="shared" si="3"/>
        <v>0</v>
      </c>
      <c r="AH48" s="32">
        <f t="shared" si="4"/>
        <v>0</v>
      </c>
      <c r="AI48" s="32">
        <f t="shared" si="5"/>
        <v>1418900</v>
      </c>
    </row>
    <row r="49" spans="1:35" s="54" customFormat="1">
      <c r="A49" s="87" t="s">
        <v>93</v>
      </c>
      <c r="B49" s="32">
        <f t="shared" si="13"/>
        <v>-1259713</v>
      </c>
      <c r="C49" s="34"/>
      <c r="D49" s="32">
        <v>241744</v>
      </c>
      <c r="E49" s="34"/>
      <c r="F49" s="32">
        <f>+H49+M49+O49+Q49+S49+U49+W49+Y49+AA49+AC49</f>
        <v>-1501457</v>
      </c>
      <c r="G49" s="34"/>
      <c r="H49" s="32">
        <v>-1491088</v>
      </c>
      <c r="I49" s="32">
        <v>-1506501</v>
      </c>
      <c r="J49" s="32">
        <v>15412</v>
      </c>
      <c r="K49" s="32">
        <v>0</v>
      </c>
      <c r="L49" s="34"/>
      <c r="M49" s="32">
        <v>0</v>
      </c>
      <c r="N49" s="34"/>
      <c r="O49" s="32">
        <v>0</v>
      </c>
      <c r="P49" s="34"/>
      <c r="Q49" s="32">
        <v>-3744</v>
      </c>
      <c r="R49" s="34"/>
      <c r="S49" s="32">
        <v>-6625</v>
      </c>
      <c r="T49" s="34"/>
      <c r="U49" s="32">
        <v>0</v>
      </c>
      <c r="V49" s="34"/>
      <c r="W49" s="32">
        <v>0</v>
      </c>
      <c r="X49" s="34"/>
      <c r="Y49" s="32">
        <v>0</v>
      </c>
      <c r="Z49" s="34"/>
      <c r="AA49" s="32">
        <v>0</v>
      </c>
      <c r="AB49" s="34"/>
      <c r="AC49" s="32">
        <v>0</v>
      </c>
      <c r="AE49" s="32">
        <f t="shared" si="1"/>
        <v>-1497713</v>
      </c>
      <c r="AF49" s="32">
        <f t="shared" si="2"/>
        <v>-3744</v>
      </c>
      <c r="AG49" s="32">
        <f t="shared" si="3"/>
        <v>0</v>
      </c>
      <c r="AH49" s="32">
        <f t="shared" si="4"/>
        <v>241744</v>
      </c>
      <c r="AI49" s="32">
        <f t="shared" si="5"/>
        <v>-1259713</v>
      </c>
    </row>
    <row r="50" spans="1:35" s="54" customFormat="1">
      <c r="A50" s="87" t="s">
        <v>111</v>
      </c>
      <c r="B50" s="32">
        <f>SUM(D50:F50)</f>
        <v>222365</v>
      </c>
      <c r="C50" s="34"/>
      <c r="D50" s="32">
        <v>82829</v>
      </c>
      <c r="E50" s="34"/>
      <c r="F50" s="34">
        <f>+H50+M50+O50+Q50+S50+U50+W50+Y50+AA50+AC50</f>
        <v>139536</v>
      </c>
      <c r="G50" s="34"/>
      <c r="H50" s="34">
        <v>139536</v>
      </c>
      <c r="I50" s="32">
        <v>139536</v>
      </c>
      <c r="J50" s="32">
        <v>0</v>
      </c>
      <c r="K50" s="32">
        <v>0</v>
      </c>
      <c r="L50" s="34"/>
      <c r="M50" s="32">
        <v>0</v>
      </c>
      <c r="N50" s="34"/>
      <c r="O50" s="32">
        <v>0</v>
      </c>
      <c r="P50" s="34"/>
      <c r="Q50" s="32">
        <v>0</v>
      </c>
      <c r="R50" s="34"/>
      <c r="S50" s="32">
        <v>0</v>
      </c>
      <c r="T50" s="34"/>
      <c r="U50" s="32">
        <v>0</v>
      </c>
      <c r="V50" s="34"/>
      <c r="W50" s="32">
        <v>0</v>
      </c>
      <c r="X50" s="34"/>
      <c r="Y50" s="32">
        <v>0</v>
      </c>
      <c r="Z50" s="34"/>
      <c r="AA50" s="32">
        <v>0</v>
      </c>
      <c r="AB50" s="34"/>
      <c r="AC50" s="32">
        <v>0</v>
      </c>
      <c r="AE50" s="32">
        <f>+H50+S50+W50</f>
        <v>139536</v>
      </c>
      <c r="AF50" s="32">
        <f>+Q50</f>
        <v>0</v>
      </c>
      <c r="AG50" s="32">
        <f>+M50+O50+U50+Y50+AA50+AC50</f>
        <v>0</v>
      </c>
      <c r="AH50" s="32">
        <f>+D50</f>
        <v>82829</v>
      </c>
      <c r="AI50" s="32">
        <f>SUM(AE50:AH50)</f>
        <v>222365</v>
      </c>
    </row>
    <row r="51" spans="1:35" s="54" customFormat="1">
      <c r="A51" s="87" t="s">
        <v>94</v>
      </c>
      <c r="B51" s="32">
        <f t="shared" si="13"/>
        <v>1441415</v>
      </c>
      <c r="C51" s="34"/>
      <c r="D51" s="32">
        <v>-887868</v>
      </c>
      <c r="E51" s="34"/>
      <c r="F51" s="32">
        <f>+H51+M51+O51+Q51+S51+U51+W51+Y51+AA51+AC51</f>
        <v>2329283</v>
      </c>
      <c r="G51" s="34"/>
      <c r="H51" s="32">
        <v>694948</v>
      </c>
      <c r="I51" s="32">
        <v>765570</v>
      </c>
      <c r="J51" s="32">
        <v>-40760</v>
      </c>
      <c r="K51" s="32">
        <v>0</v>
      </c>
      <c r="L51" s="34"/>
      <c r="M51" s="32">
        <v>141729</v>
      </c>
      <c r="N51" s="34"/>
      <c r="O51" s="32">
        <v>50001</v>
      </c>
      <c r="P51" s="34"/>
      <c r="Q51" s="32">
        <v>0</v>
      </c>
      <c r="R51" s="34"/>
      <c r="S51" s="32">
        <v>216045</v>
      </c>
      <c r="T51" s="34"/>
      <c r="U51" s="32">
        <v>21761</v>
      </c>
      <c r="V51" s="34"/>
      <c r="W51" s="32">
        <v>0</v>
      </c>
      <c r="X51" s="34"/>
      <c r="Y51" s="32">
        <v>0</v>
      </c>
      <c r="Z51" s="34"/>
      <c r="AA51" s="32">
        <v>0</v>
      </c>
      <c r="AB51" s="34"/>
      <c r="AC51" s="32">
        <v>1204799</v>
      </c>
      <c r="AE51" s="32">
        <f t="shared" si="1"/>
        <v>910993</v>
      </c>
      <c r="AF51" s="32">
        <f t="shared" si="2"/>
        <v>0</v>
      </c>
      <c r="AG51" s="32">
        <f t="shared" si="3"/>
        <v>1418290</v>
      </c>
      <c r="AH51" s="32">
        <f t="shared" si="4"/>
        <v>-887868</v>
      </c>
      <c r="AI51" s="32">
        <f t="shared" si="5"/>
        <v>1441415</v>
      </c>
    </row>
    <row r="52" spans="1:35" s="54" customFormat="1">
      <c r="A52" s="86" t="s">
        <v>95</v>
      </c>
      <c r="B52" s="33">
        <f>SUM(B46:B51)</f>
        <v>3400767</v>
      </c>
      <c r="C52" s="34"/>
      <c r="D52" s="33">
        <f t="shared" ref="D52:AC52" si="14">SUM(D46:D51)</f>
        <v>-806044</v>
      </c>
      <c r="E52" s="34"/>
      <c r="F52" s="33">
        <f t="shared" si="14"/>
        <v>4206811</v>
      </c>
      <c r="G52" s="34"/>
      <c r="H52" s="33">
        <f>SUM(H46:H51)</f>
        <v>2314292</v>
      </c>
      <c r="I52" s="33">
        <f t="shared" si="14"/>
        <v>4963125</v>
      </c>
      <c r="J52" s="33">
        <f t="shared" si="14"/>
        <v>-729038</v>
      </c>
      <c r="K52" s="33">
        <f t="shared" si="14"/>
        <v>-30</v>
      </c>
      <c r="L52" s="34"/>
      <c r="M52" s="33">
        <f t="shared" si="14"/>
        <v>141729</v>
      </c>
      <c r="N52" s="34"/>
      <c r="O52" s="33">
        <f t="shared" si="14"/>
        <v>50001</v>
      </c>
      <c r="P52" s="34"/>
      <c r="Q52" s="33">
        <f t="shared" si="14"/>
        <v>-3744</v>
      </c>
      <c r="R52" s="34"/>
      <c r="S52" s="33">
        <f t="shared" si="14"/>
        <v>214024</v>
      </c>
      <c r="T52" s="34"/>
      <c r="U52" s="33">
        <f t="shared" si="14"/>
        <v>21881</v>
      </c>
      <c r="V52" s="34"/>
      <c r="W52" s="33">
        <f t="shared" si="14"/>
        <v>263829</v>
      </c>
      <c r="X52" s="34"/>
      <c r="Y52" s="33">
        <f t="shared" si="14"/>
        <v>0</v>
      </c>
      <c r="Z52" s="34"/>
      <c r="AA52" s="33">
        <f t="shared" si="14"/>
        <v>0</v>
      </c>
      <c r="AB52" s="34"/>
      <c r="AC52" s="33">
        <f t="shared" si="14"/>
        <v>1204799</v>
      </c>
      <c r="AE52" s="33">
        <f t="shared" si="1"/>
        <v>2792145</v>
      </c>
      <c r="AF52" s="33">
        <f t="shared" si="2"/>
        <v>-3744</v>
      </c>
      <c r="AG52" s="33">
        <f t="shared" si="3"/>
        <v>1418410</v>
      </c>
      <c r="AH52" s="33">
        <f t="shared" si="4"/>
        <v>-806044</v>
      </c>
      <c r="AI52" s="33">
        <f t="shared" si="5"/>
        <v>3400767</v>
      </c>
    </row>
    <row r="53" spans="1:35" s="54" customFormat="1" hidden="1">
      <c r="A53" s="54" t="s">
        <v>96</v>
      </c>
      <c r="B53" s="32">
        <f>SUM(D53:F53)</f>
        <v>1418899.76</v>
      </c>
      <c r="C53" s="34"/>
      <c r="D53" s="32">
        <v>0</v>
      </c>
      <c r="E53" s="34"/>
      <c r="F53" s="32">
        <f>+H53+M53+O53+Q53+S53+U53+W53+Y53+AA53+AC53</f>
        <v>1418899.76</v>
      </c>
      <c r="G53" s="34"/>
      <c r="H53" s="32">
        <f>SUM(I53:K53)</f>
        <v>1418899.76</v>
      </c>
      <c r="I53" s="32">
        <f>1410525.26+8374.5</f>
        <v>1418899.76</v>
      </c>
      <c r="J53" s="32"/>
      <c r="K53" s="32"/>
      <c r="L53" s="34"/>
      <c r="M53" s="32">
        <v>0</v>
      </c>
      <c r="N53" s="34"/>
      <c r="O53" s="32">
        <v>0</v>
      </c>
      <c r="P53" s="34"/>
      <c r="Q53" s="32">
        <v>0</v>
      </c>
      <c r="R53" s="34"/>
      <c r="S53" s="32"/>
      <c r="T53" s="34"/>
      <c r="U53" s="32">
        <v>0</v>
      </c>
      <c r="V53" s="34"/>
      <c r="W53" s="32">
        <v>0</v>
      </c>
      <c r="X53" s="34"/>
      <c r="Y53" s="32">
        <v>0</v>
      </c>
      <c r="Z53" s="34"/>
      <c r="AA53" s="32">
        <v>0</v>
      </c>
      <c r="AB53" s="34"/>
      <c r="AC53" s="32">
        <v>0</v>
      </c>
      <c r="AE53" s="32">
        <f t="shared" si="1"/>
        <v>1418899.76</v>
      </c>
      <c r="AF53" s="32">
        <f t="shared" si="2"/>
        <v>0</v>
      </c>
      <c r="AG53" s="32">
        <f t="shared" si="3"/>
        <v>0</v>
      </c>
      <c r="AH53" s="32">
        <f t="shared" si="4"/>
        <v>0</v>
      </c>
      <c r="AI53" s="32">
        <f t="shared" si="5"/>
        <v>1418899.76</v>
      </c>
    </row>
    <row r="54" spans="1:35" s="54" customFormat="1" hidden="1">
      <c r="A54" s="54" t="s">
        <v>94</v>
      </c>
      <c r="B54" s="32">
        <f>SUM(D54:F54)</f>
        <v>1456757.8099999996</v>
      </c>
      <c r="C54" s="34"/>
      <c r="D54" s="32">
        <f>-[1]Eliminaciones!B32</f>
        <v>-887867.67</v>
      </c>
      <c r="E54" s="34"/>
      <c r="F54" s="32">
        <f>+H54+M54+O54+Q54+S54+U54+W54+Y54+AA54+AC54</f>
        <v>2344625.4799999995</v>
      </c>
      <c r="G54" s="34"/>
      <c r="H54" s="32">
        <f>SUM(I54:K54)</f>
        <v>724809.73</v>
      </c>
      <c r="I54" s="32">
        <f>382889.5+382680.25</f>
        <v>765569.75</v>
      </c>
      <c r="J54" s="32">
        <f>-26608.23-100-14051.79</f>
        <v>-40760.020000000004</v>
      </c>
      <c r="K54" s="32">
        <v>0</v>
      </c>
      <c r="L54" s="34"/>
      <c r="M54" s="32">
        <f>106968.47+14873.93+6017.72+3016.46</f>
        <v>130876.58</v>
      </c>
      <c r="N54" s="34"/>
      <c r="O54" s="32">
        <v>50000</v>
      </c>
      <c r="P54" s="34"/>
      <c r="Q54" s="32">
        <v>0</v>
      </c>
      <c r="R54" s="34"/>
      <c r="S54" s="32">
        <f>21451.29+100+9568+10530.59+61970.08+5864.96+33444.42+1031.25+1425.06+53216.69+15593.89+1846.85</f>
        <v>216043.08000000005</v>
      </c>
      <c r="T54" s="34"/>
      <c r="U54" s="32">
        <f>15088.88+3000+10</f>
        <v>18098.879999999997</v>
      </c>
      <c r="V54" s="34"/>
      <c r="W54" s="32">
        <v>0</v>
      </c>
      <c r="X54" s="34"/>
      <c r="Y54" s="32">
        <v>0</v>
      </c>
      <c r="Z54" s="34"/>
      <c r="AA54" s="32">
        <v>0</v>
      </c>
      <c r="AB54" s="34"/>
      <c r="AC54" s="32">
        <f>887867.67+316929.54</f>
        <v>1204797.21</v>
      </c>
      <c r="AE54" s="32">
        <f t="shared" si="1"/>
        <v>940852.81</v>
      </c>
      <c r="AF54" s="32">
        <f t="shared" si="2"/>
        <v>0</v>
      </c>
      <c r="AG54" s="32">
        <f t="shared" si="3"/>
        <v>1403772.67</v>
      </c>
      <c r="AH54" s="32">
        <f t="shared" si="4"/>
        <v>-887867.67</v>
      </c>
      <c r="AI54" s="32">
        <f t="shared" si="5"/>
        <v>1456757.81</v>
      </c>
    </row>
    <row r="55" spans="1:35" s="54" customFormat="1">
      <c r="B55" s="32"/>
      <c r="C55" s="34"/>
      <c r="D55" s="32"/>
      <c r="E55" s="34"/>
      <c r="F55" s="32"/>
      <c r="G55" s="34"/>
      <c r="H55" s="32"/>
      <c r="I55" s="32"/>
      <c r="J55" s="32"/>
      <c r="K55" s="32"/>
      <c r="L55" s="34"/>
      <c r="M55" s="32"/>
      <c r="N55" s="34"/>
      <c r="O55" s="32"/>
      <c r="P55" s="34"/>
      <c r="Q55" s="32"/>
      <c r="R55" s="34"/>
      <c r="S55" s="32"/>
      <c r="T55" s="34"/>
      <c r="U55" s="32"/>
      <c r="V55" s="34"/>
      <c r="W55" s="32"/>
      <c r="X55" s="34"/>
      <c r="Y55" s="32"/>
      <c r="Z55" s="34"/>
      <c r="AA55" s="32"/>
      <c r="AB55" s="34"/>
      <c r="AC55" s="32"/>
      <c r="AE55" s="32"/>
      <c r="AF55" s="32"/>
      <c r="AG55" s="32"/>
      <c r="AH55" s="32"/>
      <c r="AI55" s="32"/>
    </row>
    <row r="56" spans="1:35" s="54" customFormat="1">
      <c r="A56" s="32" t="s">
        <v>97</v>
      </c>
      <c r="B56" s="32"/>
      <c r="C56" s="34"/>
      <c r="D56" s="32"/>
      <c r="E56" s="34"/>
      <c r="F56" s="32"/>
      <c r="G56" s="34"/>
      <c r="H56" s="32"/>
      <c r="I56" s="32"/>
      <c r="J56" s="32"/>
      <c r="K56" s="32"/>
      <c r="L56" s="34"/>
      <c r="M56" s="32"/>
      <c r="N56" s="34"/>
      <c r="O56" s="32"/>
      <c r="P56" s="34"/>
      <c r="Q56" s="32"/>
      <c r="R56" s="34"/>
      <c r="S56" s="32"/>
      <c r="T56" s="34"/>
      <c r="U56" s="32"/>
      <c r="V56" s="34"/>
      <c r="W56" s="32"/>
      <c r="X56" s="34"/>
      <c r="Y56" s="32"/>
      <c r="Z56" s="34"/>
      <c r="AA56" s="32"/>
      <c r="AB56" s="34"/>
      <c r="AC56" s="32"/>
      <c r="AE56" s="32"/>
      <c r="AF56" s="32"/>
      <c r="AG56" s="32"/>
      <c r="AH56" s="32"/>
      <c r="AI56" s="32"/>
    </row>
    <row r="57" spans="1:35" s="54" customFormat="1">
      <c r="A57" s="87" t="s">
        <v>98</v>
      </c>
      <c r="B57" s="32">
        <f>SUM(D57:F57)</f>
        <v>4751621</v>
      </c>
      <c r="C57" s="34"/>
      <c r="D57" s="32">
        <v>0</v>
      </c>
      <c r="E57" s="34"/>
      <c r="F57" s="32">
        <f>+H57+M57+O57+Q57+S57+U57+W57+Y57+AA57+AC57</f>
        <v>4751621</v>
      </c>
      <c r="G57" s="34"/>
      <c r="H57" s="32">
        <v>4182797</v>
      </c>
      <c r="I57" s="32">
        <v>4770259</v>
      </c>
      <c r="J57" s="32">
        <v>-549979</v>
      </c>
      <c r="K57" s="32">
        <v>-37483</v>
      </c>
      <c r="L57" s="34"/>
      <c r="M57" s="32">
        <v>58709</v>
      </c>
      <c r="N57" s="34"/>
      <c r="O57" s="32">
        <v>0</v>
      </c>
      <c r="P57" s="34"/>
      <c r="Q57" s="32">
        <v>0</v>
      </c>
      <c r="R57" s="34"/>
      <c r="S57" s="32">
        <v>425006</v>
      </c>
      <c r="T57" s="34"/>
      <c r="U57" s="32">
        <v>73889</v>
      </c>
      <c r="V57" s="34"/>
      <c r="W57" s="32">
        <v>0</v>
      </c>
      <c r="X57" s="34"/>
      <c r="Y57" s="32">
        <v>0</v>
      </c>
      <c r="Z57" s="34"/>
      <c r="AA57" s="32">
        <v>0</v>
      </c>
      <c r="AB57" s="34"/>
      <c r="AC57" s="32">
        <v>11220</v>
      </c>
      <c r="AE57" s="32">
        <f t="shared" si="1"/>
        <v>4607803</v>
      </c>
      <c r="AF57" s="32">
        <f t="shared" si="2"/>
        <v>0</v>
      </c>
      <c r="AG57" s="32">
        <f t="shared" si="3"/>
        <v>143818</v>
      </c>
      <c r="AH57" s="32">
        <f t="shared" si="4"/>
        <v>0</v>
      </c>
      <c r="AI57" s="32">
        <f t="shared" si="5"/>
        <v>4751621</v>
      </c>
    </row>
    <row r="58" spans="1:35" s="54" customFormat="1">
      <c r="A58" s="87" t="s">
        <v>99</v>
      </c>
      <c r="B58" s="32">
        <f t="shared" ref="B58:B70" si="15">SUM(D58:F58)</f>
        <v>878375</v>
      </c>
      <c r="C58" s="34"/>
      <c r="D58" s="32">
        <v>0</v>
      </c>
      <c r="E58" s="34"/>
      <c r="F58" s="32">
        <f t="shared" ref="F58:F68" si="16">+H58+M58+O58+Q58+S58+U58+W58+Y58+AA58+AC58</f>
        <v>878375</v>
      </c>
      <c r="G58" s="34"/>
      <c r="H58" s="32">
        <v>831488</v>
      </c>
      <c r="I58" s="32">
        <v>1069863</v>
      </c>
      <c r="J58" s="32">
        <v>-133353</v>
      </c>
      <c r="K58" s="32">
        <v>-2692</v>
      </c>
      <c r="L58" s="34"/>
      <c r="M58" s="32">
        <v>3833</v>
      </c>
      <c r="N58" s="34"/>
      <c r="O58" s="32">
        <v>0</v>
      </c>
      <c r="P58" s="34"/>
      <c r="Q58" s="32">
        <v>0</v>
      </c>
      <c r="R58" s="34"/>
      <c r="S58" s="32">
        <v>17798</v>
      </c>
      <c r="T58" s="34"/>
      <c r="U58" s="32">
        <v>6706</v>
      </c>
      <c r="V58" s="34"/>
      <c r="W58" s="32">
        <v>18550</v>
      </c>
      <c r="X58" s="34"/>
      <c r="Y58" s="32">
        <v>0</v>
      </c>
      <c r="Z58" s="34"/>
      <c r="AA58" s="32">
        <v>0</v>
      </c>
      <c r="AB58" s="34"/>
      <c r="AC58" s="32">
        <v>0</v>
      </c>
      <c r="AE58" s="32">
        <f t="shared" si="1"/>
        <v>867836</v>
      </c>
      <c r="AF58" s="32">
        <f t="shared" si="2"/>
        <v>0</v>
      </c>
      <c r="AG58" s="32">
        <f t="shared" si="3"/>
        <v>10539</v>
      </c>
      <c r="AH58" s="32">
        <f t="shared" si="4"/>
        <v>0</v>
      </c>
      <c r="AI58" s="32">
        <f t="shared" si="5"/>
        <v>878375</v>
      </c>
    </row>
    <row r="59" spans="1:35" s="54" customFormat="1">
      <c r="A59" s="87" t="s">
        <v>100</v>
      </c>
      <c r="B59" s="32">
        <f t="shared" si="15"/>
        <v>735597</v>
      </c>
      <c r="C59" s="34"/>
      <c r="D59" s="32">
        <v>0</v>
      </c>
      <c r="E59" s="34"/>
      <c r="F59" s="32">
        <f t="shared" si="16"/>
        <v>735597</v>
      </c>
      <c r="G59" s="34"/>
      <c r="H59" s="32">
        <v>320717</v>
      </c>
      <c r="I59" s="32">
        <v>326683</v>
      </c>
      <c r="J59" s="32">
        <v>-5198</v>
      </c>
      <c r="K59" s="32">
        <v>-768</v>
      </c>
      <c r="L59" s="34"/>
      <c r="M59" s="32">
        <v>2941</v>
      </c>
      <c r="N59" s="34"/>
      <c r="O59" s="32">
        <v>0</v>
      </c>
      <c r="P59" s="34"/>
      <c r="Q59" s="32">
        <v>0</v>
      </c>
      <c r="R59" s="34"/>
      <c r="S59" s="32">
        <v>11734</v>
      </c>
      <c r="T59" s="34"/>
      <c r="U59" s="32">
        <v>2402</v>
      </c>
      <c r="V59" s="34"/>
      <c r="W59" s="32">
        <v>346519</v>
      </c>
      <c r="X59" s="34"/>
      <c r="Y59" s="32">
        <v>0</v>
      </c>
      <c r="Z59" s="34"/>
      <c r="AA59" s="32">
        <v>48004</v>
      </c>
      <c r="AB59" s="34"/>
      <c r="AC59" s="32">
        <v>3280</v>
      </c>
      <c r="AE59" s="32">
        <f t="shared" si="1"/>
        <v>678970</v>
      </c>
      <c r="AF59" s="32">
        <f t="shared" si="2"/>
        <v>0</v>
      </c>
      <c r="AG59" s="32">
        <f t="shared" si="3"/>
        <v>56627</v>
      </c>
      <c r="AH59" s="32">
        <f t="shared" si="4"/>
        <v>0</v>
      </c>
      <c r="AI59" s="32">
        <f t="shared" si="5"/>
        <v>735597</v>
      </c>
    </row>
    <row r="60" spans="1:35" s="54" customFormat="1">
      <c r="A60" s="87" t="s">
        <v>101</v>
      </c>
      <c r="B60" s="32">
        <f t="shared" si="15"/>
        <v>1275643</v>
      </c>
      <c r="C60" s="34"/>
      <c r="D60" s="32">
        <v>-887868</v>
      </c>
      <c r="E60" s="34"/>
      <c r="F60" s="32">
        <f t="shared" si="16"/>
        <v>2163511</v>
      </c>
      <c r="G60" s="34"/>
      <c r="H60" s="32">
        <v>1192459</v>
      </c>
      <c r="I60" s="32">
        <v>1214859</v>
      </c>
      <c r="J60" s="32">
        <v>-22400</v>
      </c>
      <c r="K60" s="32">
        <v>0</v>
      </c>
      <c r="L60" s="34"/>
      <c r="M60" s="32">
        <v>15362</v>
      </c>
      <c r="N60" s="34"/>
      <c r="O60" s="32">
        <v>0</v>
      </c>
      <c r="P60" s="34"/>
      <c r="Q60" s="32">
        <v>0</v>
      </c>
      <c r="R60" s="34"/>
      <c r="S60" s="32">
        <v>155050</v>
      </c>
      <c r="T60" s="34"/>
      <c r="U60" s="32">
        <v>17892</v>
      </c>
      <c r="V60" s="34"/>
      <c r="W60" s="32">
        <v>0</v>
      </c>
      <c r="X60" s="34"/>
      <c r="Y60" s="32">
        <v>0</v>
      </c>
      <c r="Z60" s="34"/>
      <c r="AA60" s="32">
        <v>0</v>
      </c>
      <c r="AB60" s="34"/>
      <c r="AC60" s="32">
        <v>782748</v>
      </c>
      <c r="AE60" s="32">
        <f t="shared" si="1"/>
        <v>1347509</v>
      </c>
      <c r="AF60" s="32">
        <f t="shared" si="2"/>
        <v>0</v>
      </c>
      <c r="AG60" s="32">
        <f t="shared" si="3"/>
        <v>816002</v>
      </c>
      <c r="AH60" s="32">
        <f t="shared" si="4"/>
        <v>-887868</v>
      </c>
      <c r="AI60" s="32">
        <f t="shared" si="5"/>
        <v>1275643</v>
      </c>
    </row>
    <row r="61" spans="1:35" s="54" customFormat="1">
      <c r="A61" s="87" t="s">
        <v>102</v>
      </c>
      <c r="B61" s="32">
        <f t="shared" si="15"/>
        <v>695912</v>
      </c>
      <c r="C61" s="34"/>
      <c r="D61" s="32">
        <v>0</v>
      </c>
      <c r="E61" s="34"/>
      <c r="F61" s="32">
        <f t="shared" si="16"/>
        <v>695912</v>
      </c>
      <c r="G61" s="34"/>
      <c r="H61" s="32">
        <v>618613</v>
      </c>
      <c r="I61" s="32">
        <v>620174</v>
      </c>
      <c r="J61" s="32">
        <v>-1561</v>
      </c>
      <c r="K61" s="32">
        <v>0</v>
      </c>
      <c r="L61" s="34"/>
      <c r="M61" s="32">
        <v>9580</v>
      </c>
      <c r="N61" s="34"/>
      <c r="O61" s="32">
        <v>0</v>
      </c>
      <c r="P61" s="34"/>
      <c r="Q61" s="32">
        <v>0</v>
      </c>
      <c r="R61" s="34"/>
      <c r="S61" s="32">
        <v>54846</v>
      </c>
      <c r="T61" s="34"/>
      <c r="U61" s="32">
        <v>12873</v>
      </c>
      <c r="V61" s="34"/>
      <c r="W61" s="32">
        <v>0</v>
      </c>
      <c r="X61" s="34"/>
      <c r="Y61" s="32">
        <v>0</v>
      </c>
      <c r="Z61" s="34"/>
      <c r="AA61" s="32">
        <v>0</v>
      </c>
      <c r="AB61" s="34"/>
      <c r="AC61" s="32">
        <v>0</v>
      </c>
      <c r="AE61" s="32">
        <f t="shared" si="1"/>
        <v>673459</v>
      </c>
      <c r="AF61" s="32">
        <f t="shared" si="2"/>
        <v>0</v>
      </c>
      <c r="AG61" s="32">
        <f t="shared" si="3"/>
        <v>22453</v>
      </c>
      <c r="AH61" s="32">
        <f t="shared" si="4"/>
        <v>0</v>
      </c>
      <c r="AI61" s="32">
        <f t="shared" si="5"/>
        <v>695912</v>
      </c>
    </row>
    <row r="62" spans="1:35" s="54" customFormat="1">
      <c r="A62" s="87" t="s">
        <v>103</v>
      </c>
      <c r="B62" s="32">
        <f t="shared" si="15"/>
        <v>572377</v>
      </c>
      <c r="C62" s="34"/>
      <c r="D62" s="32">
        <v>0</v>
      </c>
      <c r="E62" s="34"/>
      <c r="F62" s="32">
        <f t="shared" si="16"/>
        <v>572377</v>
      </c>
      <c r="G62" s="34"/>
      <c r="H62" s="32">
        <v>387104</v>
      </c>
      <c r="I62" s="32">
        <v>550200</v>
      </c>
      <c r="J62" s="32">
        <v>-163096</v>
      </c>
      <c r="K62" s="32">
        <v>0</v>
      </c>
      <c r="L62" s="34"/>
      <c r="M62" s="32">
        <v>17650</v>
      </c>
      <c r="N62" s="34"/>
      <c r="O62" s="32">
        <v>0</v>
      </c>
      <c r="P62" s="34"/>
      <c r="Q62" s="32">
        <v>6711</v>
      </c>
      <c r="R62" s="34"/>
      <c r="S62" s="32">
        <v>94958</v>
      </c>
      <c r="T62" s="34"/>
      <c r="U62" s="32">
        <v>20735</v>
      </c>
      <c r="V62" s="34"/>
      <c r="W62" s="32">
        <v>15000</v>
      </c>
      <c r="X62" s="34"/>
      <c r="Y62" s="32">
        <v>0</v>
      </c>
      <c r="Z62" s="34"/>
      <c r="AA62" s="32">
        <v>0</v>
      </c>
      <c r="AB62" s="34"/>
      <c r="AC62" s="32">
        <v>30219</v>
      </c>
      <c r="AE62" s="32">
        <f t="shared" si="1"/>
        <v>497062</v>
      </c>
      <c r="AF62" s="32">
        <f t="shared" si="2"/>
        <v>6711</v>
      </c>
      <c r="AG62" s="32">
        <f t="shared" si="3"/>
        <v>68604</v>
      </c>
      <c r="AH62" s="32">
        <f t="shared" si="4"/>
        <v>0</v>
      </c>
      <c r="AI62" s="32">
        <f t="shared" si="5"/>
        <v>572377</v>
      </c>
    </row>
    <row r="63" spans="1:35" s="54" customFormat="1">
      <c r="A63" s="87" t="s">
        <v>104</v>
      </c>
      <c r="B63" s="32">
        <f t="shared" si="15"/>
        <v>518156</v>
      </c>
      <c r="C63" s="34"/>
      <c r="D63" s="32">
        <v>0</v>
      </c>
      <c r="E63" s="34"/>
      <c r="F63" s="32">
        <f t="shared" si="16"/>
        <v>518156</v>
      </c>
      <c r="G63" s="34"/>
      <c r="H63" s="32">
        <v>502526</v>
      </c>
      <c r="I63" s="32">
        <v>529941</v>
      </c>
      <c r="J63" s="32">
        <v>-27414</v>
      </c>
      <c r="K63" s="32">
        <v>0</v>
      </c>
      <c r="L63" s="34"/>
      <c r="M63" s="32">
        <v>1951</v>
      </c>
      <c r="N63" s="34"/>
      <c r="O63" s="32">
        <v>0</v>
      </c>
      <c r="P63" s="34"/>
      <c r="Q63" s="32">
        <v>0</v>
      </c>
      <c r="R63" s="34"/>
      <c r="S63" s="32">
        <v>10939</v>
      </c>
      <c r="T63" s="34"/>
      <c r="U63" s="32">
        <v>2447</v>
      </c>
      <c r="V63" s="34"/>
      <c r="W63" s="32">
        <v>0</v>
      </c>
      <c r="X63" s="34"/>
      <c r="Y63" s="32">
        <v>0</v>
      </c>
      <c r="Z63" s="34"/>
      <c r="AA63" s="32">
        <v>0</v>
      </c>
      <c r="AB63" s="34"/>
      <c r="AC63" s="32">
        <v>293</v>
      </c>
      <c r="AE63" s="32">
        <f t="shared" si="1"/>
        <v>513465</v>
      </c>
      <c r="AF63" s="32">
        <f t="shared" si="2"/>
        <v>0</v>
      </c>
      <c r="AG63" s="32">
        <f t="shared" si="3"/>
        <v>4691</v>
      </c>
      <c r="AH63" s="32">
        <f t="shared" si="4"/>
        <v>0</v>
      </c>
      <c r="AI63" s="32">
        <f t="shared" si="5"/>
        <v>518156</v>
      </c>
    </row>
    <row r="64" spans="1:35" s="54" customFormat="1">
      <c r="A64" s="87" t="s">
        <v>105</v>
      </c>
      <c r="B64" s="32">
        <f t="shared" si="15"/>
        <v>1066302</v>
      </c>
      <c r="C64" s="34"/>
      <c r="D64" s="32">
        <v>0</v>
      </c>
      <c r="E64" s="34"/>
      <c r="F64" s="32">
        <f t="shared" si="16"/>
        <v>1066302</v>
      </c>
      <c r="G64" s="34"/>
      <c r="H64" s="32">
        <v>938124</v>
      </c>
      <c r="I64" s="32">
        <v>990980</v>
      </c>
      <c r="J64" s="32">
        <v>-52903</v>
      </c>
      <c r="K64" s="32">
        <v>47</v>
      </c>
      <c r="L64" s="34"/>
      <c r="M64" s="32">
        <v>4355</v>
      </c>
      <c r="N64" s="34"/>
      <c r="O64" s="32">
        <v>18598</v>
      </c>
      <c r="P64" s="34"/>
      <c r="Q64" s="32">
        <v>0</v>
      </c>
      <c r="R64" s="34"/>
      <c r="S64" s="32">
        <v>72726</v>
      </c>
      <c r="T64" s="34"/>
      <c r="U64" s="32">
        <v>13323</v>
      </c>
      <c r="V64" s="34"/>
      <c r="W64" s="32">
        <v>0</v>
      </c>
      <c r="X64" s="34"/>
      <c r="Y64" s="32">
        <v>0</v>
      </c>
      <c r="Z64" s="34"/>
      <c r="AA64" s="32">
        <v>0</v>
      </c>
      <c r="AB64" s="34"/>
      <c r="AC64" s="32">
        <v>19176</v>
      </c>
      <c r="AE64" s="32">
        <f t="shared" si="1"/>
        <v>1010850</v>
      </c>
      <c r="AF64" s="32">
        <f t="shared" si="2"/>
        <v>0</v>
      </c>
      <c r="AG64" s="32">
        <f t="shared" si="3"/>
        <v>55452</v>
      </c>
      <c r="AH64" s="32">
        <f t="shared" si="4"/>
        <v>0</v>
      </c>
      <c r="AI64" s="32">
        <f t="shared" si="5"/>
        <v>1066302</v>
      </c>
    </row>
    <row r="65" spans="1:35" s="54" customFormat="1">
      <c r="A65" s="87" t="s">
        <v>106</v>
      </c>
      <c r="B65" s="32">
        <f t="shared" si="15"/>
        <v>543324</v>
      </c>
      <c r="C65" s="34"/>
      <c r="D65" s="32">
        <v>0</v>
      </c>
      <c r="E65" s="34"/>
      <c r="F65" s="32">
        <f t="shared" si="16"/>
        <v>543324</v>
      </c>
      <c r="G65" s="34"/>
      <c r="H65" s="32">
        <v>522126</v>
      </c>
      <c r="I65" s="32">
        <v>570154</v>
      </c>
      <c r="J65" s="32">
        <v>-48028</v>
      </c>
      <c r="K65" s="32">
        <v>0</v>
      </c>
      <c r="L65" s="34"/>
      <c r="M65" s="32">
        <v>2033</v>
      </c>
      <c r="N65" s="34"/>
      <c r="O65" s="32">
        <v>0</v>
      </c>
      <c r="P65" s="34"/>
      <c r="Q65" s="32">
        <v>0</v>
      </c>
      <c r="R65" s="34"/>
      <c r="S65" s="32">
        <v>15367</v>
      </c>
      <c r="T65" s="34"/>
      <c r="U65" s="32">
        <v>3135</v>
      </c>
      <c r="V65" s="34"/>
      <c r="W65" s="32">
        <v>600</v>
      </c>
      <c r="X65" s="34"/>
      <c r="Y65" s="32">
        <v>0</v>
      </c>
      <c r="Z65" s="34"/>
      <c r="AA65" s="32">
        <v>0</v>
      </c>
      <c r="AB65" s="34"/>
      <c r="AC65" s="32">
        <v>63</v>
      </c>
      <c r="AE65" s="32">
        <f t="shared" si="1"/>
        <v>538093</v>
      </c>
      <c r="AF65" s="32">
        <f t="shared" si="2"/>
        <v>0</v>
      </c>
      <c r="AG65" s="32">
        <f t="shared" si="3"/>
        <v>5231</v>
      </c>
      <c r="AH65" s="32">
        <f t="shared" si="4"/>
        <v>0</v>
      </c>
      <c r="AI65" s="32">
        <f t="shared" si="5"/>
        <v>543324</v>
      </c>
    </row>
    <row r="66" spans="1:35" s="54" customFormat="1">
      <c r="A66" s="87" t="s">
        <v>107</v>
      </c>
      <c r="B66" s="32">
        <f t="shared" si="15"/>
        <v>600709</v>
      </c>
      <c r="C66" s="34"/>
      <c r="D66" s="32">
        <v>0</v>
      </c>
      <c r="E66" s="34"/>
      <c r="F66" s="32">
        <f t="shared" si="16"/>
        <v>600709</v>
      </c>
      <c r="G66" s="34"/>
      <c r="H66" s="32">
        <v>527641</v>
      </c>
      <c r="I66" s="32"/>
      <c r="J66" s="32"/>
      <c r="K66" s="32"/>
      <c r="L66" s="34"/>
      <c r="M66" s="32">
        <v>2596</v>
      </c>
      <c r="N66" s="34"/>
      <c r="O66" s="32">
        <v>0</v>
      </c>
      <c r="P66" s="34"/>
      <c r="Q66" s="32">
        <v>13726</v>
      </c>
      <c r="R66" s="34"/>
      <c r="S66" s="32">
        <v>27391</v>
      </c>
      <c r="T66" s="34"/>
      <c r="U66" s="32">
        <v>7139</v>
      </c>
      <c r="V66" s="34"/>
      <c r="W66" s="32">
        <v>0</v>
      </c>
      <c r="X66" s="34"/>
      <c r="Y66" s="32">
        <v>0</v>
      </c>
      <c r="Z66" s="34"/>
      <c r="AA66" s="32">
        <v>0</v>
      </c>
      <c r="AB66" s="34"/>
      <c r="AC66" s="32">
        <v>22216</v>
      </c>
      <c r="AE66" s="32">
        <f t="shared" si="1"/>
        <v>555032</v>
      </c>
      <c r="AF66" s="32">
        <f t="shared" si="2"/>
        <v>13726</v>
      </c>
      <c r="AG66" s="32">
        <f t="shared" si="3"/>
        <v>31951</v>
      </c>
      <c r="AH66" s="32"/>
      <c r="AI66" s="32"/>
    </row>
    <row r="67" spans="1:35" s="54" customFormat="1">
      <c r="A67" s="87" t="s">
        <v>108</v>
      </c>
      <c r="B67" s="32">
        <f t="shared" si="15"/>
        <v>3055823</v>
      </c>
      <c r="C67" s="34"/>
      <c r="D67" s="32">
        <v>-1005</v>
      </c>
      <c r="E67" s="34"/>
      <c r="F67" s="32">
        <f t="shared" si="16"/>
        <v>3056828</v>
      </c>
      <c r="G67" s="34"/>
      <c r="H67" s="32">
        <v>2522732</v>
      </c>
      <c r="I67" s="32">
        <v>2103390</v>
      </c>
      <c r="J67" s="32">
        <v>-106116</v>
      </c>
      <c r="K67" s="32">
        <v>299</v>
      </c>
      <c r="L67" s="34"/>
      <c r="M67" s="32">
        <v>13889</v>
      </c>
      <c r="N67" s="34"/>
      <c r="O67" s="32">
        <v>24725</v>
      </c>
      <c r="P67" s="34"/>
      <c r="Q67" s="32">
        <v>9500</v>
      </c>
      <c r="R67" s="34"/>
      <c r="S67" s="32">
        <v>169067</v>
      </c>
      <c r="T67" s="34"/>
      <c r="U67" s="32">
        <v>19244</v>
      </c>
      <c r="V67" s="34"/>
      <c r="W67" s="32">
        <v>118925</v>
      </c>
      <c r="X67" s="34"/>
      <c r="Y67" s="32">
        <v>0</v>
      </c>
      <c r="Z67" s="34"/>
      <c r="AA67" s="32">
        <v>25</v>
      </c>
      <c r="AB67" s="34"/>
      <c r="AC67" s="32">
        <v>178721</v>
      </c>
      <c r="AE67" s="32">
        <f t="shared" si="1"/>
        <v>2810724</v>
      </c>
      <c r="AF67" s="32">
        <f t="shared" si="2"/>
        <v>9500</v>
      </c>
      <c r="AG67" s="32">
        <f t="shared" si="3"/>
        <v>236604</v>
      </c>
      <c r="AH67" s="32">
        <f t="shared" si="4"/>
        <v>-1005</v>
      </c>
      <c r="AI67" s="32">
        <f t="shared" si="5"/>
        <v>3055823</v>
      </c>
    </row>
    <row r="68" spans="1:35" s="54" customFormat="1">
      <c r="A68" s="86" t="s">
        <v>109</v>
      </c>
      <c r="B68" s="33">
        <f t="shared" si="15"/>
        <v>14693839</v>
      </c>
      <c r="C68" s="34"/>
      <c r="D68" s="33">
        <f>SUM(D57:D67)</f>
        <v>-888873</v>
      </c>
      <c r="E68" s="34"/>
      <c r="F68" s="33">
        <f t="shared" si="16"/>
        <v>15582712</v>
      </c>
      <c r="G68" s="34"/>
      <c r="H68" s="33">
        <f>SUM(H57:H67)</f>
        <v>12546327</v>
      </c>
      <c r="I68" s="33" t="e">
        <f>+I67+#REF!+#REF!+#REF!+I65+#REF!+I64+I63+#REF!+#REF!+I62+I61+I60+I59+#REF!+I58+I57</f>
        <v>#REF!</v>
      </c>
      <c r="J68" s="33" t="e">
        <f>+J67+#REF!+#REF!+#REF!+J65+#REF!+J64+J63+#REF!+#REF!+J62+J61+J60+J59+#REF!+J58+J57</f>
        <v>#REF!</v>
      </c>
      <c r="K68" s="33" t="e">
        <f>+K67+#REF!+#REF!+#REF!+K65+#REF!+K64+K63+#REF!+#REF!+K62+K61+K60+K59+#REF!+K58+K57</f>
        <v>#REF!</v>
      </c>
      <c r="L68" s="34"/>
      <c r="M68" s="33">
        <f>SUM(M57:M67)</f>
        <v>132899</v>
      </c>
      <c r="N68" s="34"/>
      <c r="O68" s="33">
        <f>SUM(O57:O67)</f>
        <v>43323</v>
      </c>
      <c r="P68" s="34"/>
      <c r="Q68" s="33">
        <f>SUM(Q57:Q67)</f>
        <v>29937</v>
      </c>
      <c r="R68" s="34"/>
      <c r="S68" s="33">
        <f>SUM(S57:S67)</f>
        <v>1054882</v>
      </c>
      <c r="T68" s="34"/>
      <c r="U68" s="33">
        <f>SUM(U57:U67)</f>
        <v>179785</v>
      </c>
      <c r="V68" s="34"/>
      <c r="W68" s="33">
        <f>SUM(W57:W67)</f>
        <v>499594</v>
      </c>
      <c r="X68" s="34"/>
      <c r="Y68" s="33">
        <f>SUM(Y57:Y67)</f>
        <v>0</v>
      </c>
      <c r="Z68" s="34"/>
      <c r="AA68" s="33">
        <f>SUM(AA57:AA67)</f>
        <v>48029</v>
      </c>
      <c r="AB68" s="34"/>
      <c r="AC68" s="33">
        <f>SUM(AC57:AC67)</f>
        <v>1047936</v>
      </c>
      <c r="AE68" s="33">
        <f>+H68+S68+W68</f>
        <v>14100803</v>
      </c>
      <c r="AF68" s="33">
        <f>+Q68</f>
        <v>29937</v>
      </c>
      <c r="AG68" s="33">
        <f>+M68+O68+U68+Y68+AA68+AC68</f>
        <v>1451972</v>
      </c>
      <c r="AH68" s="33">
        <f>+D68</f>
        <v>-888873</v>
      </c>
      <c r="AI68" s="33">
        <f>SUM(AE68:AH68)</f>
        <v>14693839</v>
      </c>
    </row>
    <row r="69" spans="1:35" s="54" customFormat="1">
      <c r="A69" s="86" t="s">
        <v>110</v>
      </c>
      <c r="B69" s="33">
        <f>SUM(D69:F69)</f>
        <v>7361936</v>
      </c>
      <c r="C69" s="34"/>
      <c r="D69" s="33">
        <f>+D43+D52-D68</f>
        <v>82829</v>
      </c>
      <c r="E69" s="34"/>
      <c r="F69" s="33">
        <f>+H69+M69+O69+Q69+S69+U69+W69+Y69+AA69+AC69</f>
        <v>7279107</v>
      </c>
      <c r="G69" s="34"/>
      <c r="H69" s="33">
        <f>+H43+H52-H68</f>
        <v>5460994</v>
      </c>
      <c r="I69" s="33" t="e">
        <f>+I43+I52-I68</f>
        <v>#REF!</v>
      </c>
      <c r="J69" s="33" t="e">
        <f>+J43+J52-J68</f>
        <v>#REF!</v>
      </c>
      <c r="K69" s="33" t="e">
        <f>+K43+K52-K68</f>
        <v>#REF!</v>
      </c>
      <c r="L69" s="34"/>
      <c r="M69" s="33">
        <f>+M43+M52-M68</f>
        <v>267429</v>
      </c>
      <c r="N69" s="34"/>
      <c r="O69" s="33">
        <f>+O43+O52-O68</f>
        <v>6678</v>
      </c>
      <c r="P69" s="34"/>
      <c r="Q69" s="33">
        <f>+Q43+Q52-Q68</f>
        <v>23131</v>
      </c>
      <c r="R69" s="34"/>
      <c r="S69" s="33">
        <f>+S43+S52-S68</f>
        <v>655428</v>
      </c>
      <c r="T69" s="34"/>
      <c r="U69" s="33">
        <f>+U43+U52-U68</f>
        <v>265866</v>
      </c>
      <c r="V69" s="34"/>
      <c r="W69" s="33">
        <f>+W43+W52-W68</f>
        <v>461886</v>
      </c>
      <c r="X69" s="34"/>
      <c r="Y69" s="33">
        <f>+Y43+Y52-Y68</f>
        <v>0</v>
      </c>
      <c r="Z69" s="34"/>
      <c r="AA69" s="33">
        <f>+AA43+AA52-AA68</f>
        <v>85332</v>
      </c>
      <c r="AB69" s="34"/>
      <c r="AC69" s="33">
        <f>+AC43+AC52-AC68</f>
        <v>52363</v>
      </c>
      <c r="AE69" s="33">
        <f>+H69+S69+W69</f>
        <v>6578308</v>
      </c>
      <c r="AF69" s="33">
        <f>+Q69</f>
        <v>23131</v>
      </c>
      <c r="AG69" s="33">
        <f>+M69+O69+U69+Y69+AA69+AC69</f>
        <v>677668</v>
      </c>
      <c r="AH69" s="33">
        <f>+D69</f>
        <v>82829</v>
      </c>
      <c r="AI69" s="33">
        <f>SUM(AE69:AH69)</f>
        <v>7361936</v>
      </c>
    </row>
    <row r="70" spans="1:35" s="54" customFormat="1">
      <c r="A70" s="87" t="s">
        <v>177</v>
      </c>
      <c r="B70" s="32">
        <f t="shared" si="15"/>
        <v>270224</v>
      </c>
      <c r="C70" s="34"/>
      <c r="D70" s="32">
        <v>0</v>
      </c>
      <c r="E70" s="34"/>
      <c r="F70" s="34">
        <v>270224</v>
      </c>
      <c r="G70" s="34"/>
      <c r="H70" s="34">
        <v>24438</v>
      </c>
      <c r="I70" s="32">
        <v>-15703</v>
      </c>
      <c r="J70" s="32">
        <v>0</v>
      </c>
      <c r="K70" s="32">
        <v>0</v>
      </c>
      <c r="L70" s="34"/>
      <c r="M70" s="32">
        <v>97276</v>
      </c>
      <c r="N70" s="34"/>
      <c r="O70" s="32">
        <v>9369</v>
      </c>
      <c r="P70" s="34"/>
      <c r="Q70" s="32">
        <v>5750</v>
      </c>
      <c r="R70" s="34"/>
      <c r="S70" s="32">
        <v>54752</v>
      </c>
      <c r="T70" s="34"/>
      <c r="U70" s="32">
        <v>60258</v>
      </c>
      <c r="V70" s="34"/>
      <c r="W70" s="32">
        <v>0</v>
      </c>
      <c r="X70" s="34"/>
      <c r="Y70" s="32">
        <v>0</v>
      </c>
      <c r="Z70" s="34"/>
      <c r="AA70" s="32">
        <v>0</v>
      </c>
      <c r="AB70" s="34"/>
      <c r="AC70" s="32">
        <v>18381</v>
      </c>
      <c r="AE70" s="32">
        <f>+H70+S70+W70</f>
        <v>79190</v>
      </c>
      <c r="AF70" s="32">
        <f>+Q70</f>
        <v>5750</v>
      </c>
      <c r="AG70" s="32">
        <f>+M70+O70+U70+Y70+AA70+AC70</f>
        <v>185284</v>
      </c>
      <c r="AH70" s="32">
        <f>+D70</f>
        <v>0</v>
      </c>
      <c r="AI70" s="32">
        <f>SUM(AE70:AH70)</f>
        <v>270224</v>
      </c>
    </row>
    <row r="71" spans="1:35" s="54" customFormat="1" ht="13.7" customHeight="1" thickBot="1">
      <c r="A71" s="86" t="s">
        <v>112</v>
      </c>
      <c r="B71" s="42">
        <f>B69-B70</f>
        <v>7091712</v>
      </c>
      <c r="C71" s="34"/>
      <c r="D71" s="42">
        <f>D69-D70</f>
        <v>82829</v>
      </c>
      <c r="E71" s="34"/>
      <c r="F71" s="42">
        <f>F69-F70</f>
        <v>7008883</v>
      </c>
      <c r="G71" s="34"/>
      <c r="H71" s="42">
        <f>H69-H70</f>
        <v>5436556</v>
      </c>
      <c r="I71" s="42" t="e">
        <f>SUM(I69:I70)</f>
        <v>#REF!</v>
      </c>
      <c r="J71" s="42" t="e">
        <f>SUM(J69:J70)</f>
        <v>#REF!</v>
      </c>
      <c r="K71" s="42" t="e">
        <f>SUM(K69:K70)</f>
        <v>#REF!</v>
      </c>
      <c r="L71" s="34"/>
      <c r="M71" s="42">
        <f>M69-M70</f>
        <v>170153</v>
      </c>
      <c r="N71" s="34"/>
      <c r="O71" s="42">
        <f>O69-O70</f>
        <v>-2691</v>
      </c>
      <c r="P71" s="34"/>
      <c r="Q71" s="42">
        <f>Q69-Q70</f>
        <v>17381</v>
      </c>
      <c r="R71" s="34"/>
      <c r="S71" s="42">
        <f>S69-S70</f>
        <v>600676</v>
      </c>
      <c r="T71" s="34"/>
      <c r="U71" s="42">
        <f>U69-U70</f>
        <v>205608</v>
      </c>
      <c r="V71" s="34"/>
      <c r="W71" s="42">
        <f>W69-W70</f>
        <v>461886</v>
      </c>
      <c r="X71" s="34"/>
      <c r="Y71" s="42">
        <f>Y69-Y70</f>
        <v>0</v>
      </c>
      <c r="Z71" s="34"/>
      <c r="AA71" s="42">
        <f>AA69-AA70</f>
        <v>85332</v>
      </c>
      <c r="AB71" s="34"/>
      <c r="AC71" s="42">
        <f>AC69-AC70</f>
        <v>33982</v>
      </c>
      <c r="AE71" s="42">
        <f>+H71+S71+W71</f>
        <v>6499118</v>
      </c>
      <c r="AF71" s="42">
        <f>+Q71</f>
        <v>17381</v>
      </c>
      <c r="AG71" s="42">
        <f>+M71+O71+U71+Y71+AA71+AC71</f>
        <v>492384</v>
      </c>
      <c r="AH71" s="42">
        <f>+D71</f>
        <v>82829</v>
      </c>
      <c r="AI71" s="42">
        <f>SUM(AE71:AH71)</f>
        <v>7091712</v>
      </c>
    </row>
    <row r="72" spans="1:35" s="54" customFormat="1" ht="13.5" thickTop="1">
      <c r="B72" s="50"/>
      <c r="C72" s="51"/>
      <c r="E72" s="55"/>
      <c r="F72" s="71"/>
      <c r="G72" s="72"/>
      <c r="H72" s="73"/>
      <c r="L72" s="55"/>
      <c r="M72" s="73"/>
      <c r="N72" s="74"/>
      <c r="P72" s="55"/>
      <c r="R72" s="55"/>
      <c r="T72" s="55"/>
      <c r="V72" s="55"/>
      <c r="X72" s="55"/>
      <c r="Z72" s="55"/>
      <c r="AB72" s="55"/>
      <c r="AF72" s="34">
        <f>+Q72</f>
        <v>0</v>
      </c>
    </row>
    <row r="73" spans="1:35" s="54" customFormat="1">
      <c r="B73" s="50"/>
      <c r="C73" s="51"/>
      <c r="E73" s="55"/>
      <c r="F73" s="71"/>
      <c r="G73" s="72"/>
      <c r="H73" s="73"/>
      <c r="L73" s="55"/>
      <c r="M73" s="73"/>
      <c r="N73" s="74"/>
      <c r="O73" s="69"/>
      <c r="P73" s="70"/>
      <c r="Q73" s="69"/>
      <c r="R73" s="70"/>
      <c r="S73" s="69"/>
      <c r="T73" s="70"/>
      <c r="U73" s="69"/>
      <c r="V73" s="70"/>
      <c r="W73" s="69"/>
      <c r="X73" s="70"/>
      <c r="Y73" s="69"/>
      <c r="Z73" s="70"/>
      <c r="AA73" s="69"/>
      <c r="AB73" s="70"/>
      <c r="AC73" s="69"/>
      <c r="AE73" s="69"/>
      <c r="AF73" s="69"/>
      <c r="AG73" s="69"/>
      <c r="AH73" s="69"/>
      <c r="AI73" s="69"/>
    </row>
    <row r="74" spans="1:35" s="54" customFormat="1" hidden="1">
      <c r="B74" s="50"/>
      <c r="C74" s="51"/>
      <c r="E74" s="55"/>
      <c r="F74" s="75" t="s">
        <v>113</v>
      </c>
      <c r="G74" s="76"/>
      <c r="L74" s="55"/>
      <c r="M74" s="73">
        <f>400516.85+196568.22</f>
        <v>597085.06999999995</v>
      </c>
      <c r="N74" s="74"/>
      <c r="O74" s="73" t="e">
        <f>+O51+#REF!+O48+O46+O21</f>
        <v>#REF!</v>
      </c>
      <c r="P74" s="74"/>
      <c r="Q74" s="73" t="e">
        <f>+Q51+#REF!+Q48+Q46+Q21</f>
        <v>#REF!</v>
      </c>
      <c r="R74" s="74"/>
      <c r="S74" s="73" t="e">
        <f>+S51+#REF!+S48+S46+S21</f>
        <v>#REF!</v>
      </c>
      <c r="T74" s="74"/>
      <c r="U74" s="73" t="e">
        <f>+U51+#REF!+U48+U46+U21</f>
        <v>#REF!</v>
      </c>
      <c r="V74" s="74"/>
      <c r="W74" s="73"/>
      <c r="X74" s="74"/>
      <c r="Y74" s="73"/>
      <c r="Z74" s="74"/>
      <c r="AA74" s="73"/>
      <c r="AB74" s="74"/>
      <c r="AC74" s="73" t="e">
        <f>+AC51+#REF!+AC48+AC46+AC21</f>
        <v>#REF!</v>
      </c>
      <c r="AE74" s="69"/>
      <c r="AF74" s="69"/>
      <c r="AG74" s="69"/>
      <c r="AH74" s="69"/>
      <c r="AI74" s="69"/>
    </row>
    <row r="75" spans="1:35" s="54" customFormat="1" hidden="1">
      <c r="B75" s="50"/>
      <c r="C75" s="51"/>
      <c r="E75" s="55"/>
      <c r="F75" s="75" t="s">
        <v>114</v>
      </c>
      <c r="G75" s="76"/>
      <c r="L75" s="55"/>
      <c r="M75" s="73">
        <f>198733.7+148071.62</f>
        <v>346805.32</v>
      </c>
      <c r="N75" s="74"/>
      <c r="O75" s="73" t="e">
        <f>+O39+O42+#REF!-O49+O68</f>
        <v>#REF!</v>
      </c>
      <c r="P75" s="74"/>
      <c r="Q75" s="73" t="e">
        <f>+Q39+Q42+#REF!-Q49+Q68</f>
        <v>#REF!</v>
      </c>
      <c r="R75" s="74"/>
      <c r="S75" s="73" t="e">
        <f>+S39+S42+#REF!-S49+S68</f>
        <v>#REF!</v>
      </c>
      <c r="T75" s="74"/>
      <c r="U75" s="73" t="e">
        <f>+U39+U42+#REF!-U49+U68</f>
        <v>#REF!</v>
      </c>
      <c r="V75" s="74"/>
      <c r="W75" s="73"/>
      <c r="X75" s="74"/>
      <c r="Y75" s="73"/>
      <c r="Z75" s="74"/>
      <c r="AA75" s="73"/>
      <c r="AB75" s="74"/>
      <c r="AC75" s="73" t="e">
        <f>+AC39+AC42+#REF!-AC49+AC68</f>
        <v>#REF!</v>
      </c>
      <c r="AE75" s="69"/>
      <c r="AF75" s="69"/>
      <c r="AG75" s="69"/>
      <c r="AH75" s="69"/>
      <c r="AI75" s="69"/>
    </row>
    <row r="76" spans="1:35" s="54" customFormat="1" hidden="1">
      <c r="B76" s="50"/>
      <c r="C76" s="51"/>
      <c r="E76" s="55"/>
      <c r="F76" s="54" t="s">
        <v>115</v>
      </c>
      <c r="G76" s="55"/>
      <c r="L76" s="55"/>
      <c r="M76" s="73">
        <v>0</v>
      </c>
      <c r="N76" s="74"/>
      <c r="O76" s="73">
        <v>3964</v>
      </c>
      <c r="P76" s="74"/>
      <c r="Q76" s="73">
        <v>0</v>
      </c>
      <c r="R76" s="74"/>
      <c r="S76" s="73">
        <v>97040.19</v>
      </c>
      <c r="T76" s="74"/>
      <c r="U76" s="73">
        <v>0</v>
      </c>
      <c r="V76" s="74"/>
      <c r="W76" s="73"/>
      <c r="X76" s="74"/>
      <c r="Y76" s="73"/>
      <c r="Z76" s="74"/>
      <c r="AA76" s="73"/>
      <c r="AB76" s="74"/>
      <c r="AC76" s="73">
        <v>1630.94</v>
      </c>
      <c r="AE76" s="69"/>
      <c r="AF76" s="69"/>
      <c r="AG76" s="69"/>
      <c r="AH76" s="69"/>
      <c r="AI76" s="69"/>
    </row>
    <row r="77" spans="1:35" s="54" customFormat="1" hidden="1">
      <c r="B77" s="50"/>
      <c r="C77" s="51"/>
      <c r="E77" s="55"/>
      <c r="F77" s="54" t="s">
        <v>116</v>
      </c>
      <c r="G77" s="55"/>
      <c r="L77" s="55"/>
      <c r="M77" s="54">
        <v>25</v>
      </c>
      <c r="N77" s="55"/>
      <c r="O77" s="54">
        <v>0</v>
      </c>
      <c r="P77" s="55"/>
      <c r="Q77" s="54">
        <v>0</v>
      </c>
      <c r="R77" s="55"/>
      <c r="S77" s="54">
        <v>161.27000000000001</v>
      </c>
      <c r="T77" s="55"/>
      <c r="U77" s="54">
        <v>25</v>
      </c>
      <c r="V77" s="55"/>
      <c r="X77" s="55"/>
      <c r="Z77" s="55"/>
      <c r="AB77" s="55"/>
      <c r="AC77" s="54">
        <v>25</v>
      </c>
      <c r="AE77" s="69"/>
      <c r="AF77" s="69"/>
      <c r="AG77" s="69"/>
      <c r="AH77" s="69"/>
      <c r="AI77" s="69"/>
    </row>
    <row r="78" spans="1:35" s="54" customFormat="1" hidden="1">
      <c r="B78" s="50"/>
      <c r="C78" s="51"/>
      <c r="E78" s="55"/>
      <c r="F78" s="54" t="s">
        <v>117</v>
      </c>
      <c r="G78" s="55"/>
      <c r="L78" s="55"/>
      <c r="M78" s="54">
        <v>0</v>
      </c>
      <c r="N78" s="55"/>
      <c r="O78" s="54">
        <f>+O42</f>
        <v>0</v>
      </c>
      <c r="P78" s="55"/>
      <c r="Q78" s="54">
        <f>+Q42</f>
        <v>0</v>
      </c>
      <c r="R78" s="55"/>
      <c r="S78" s="54">
        <f>+S42</f>
        <v>298000</v>
      </c>
      <c r="T78" s="55"/>
      <c r="U78" s="54">
        <f>+U42</f>
        <v>60000</v>
      </c>
      <c r="V78" s="55"/>
      <c r="X78" s="55"/>
      <c r="Z78" s="55"/>
      <c r="AB78" s="55"/>
      <c r="AC78" s="54">
        <f>+AC42</f>
        <v>0</v>
      </c>
      <c r="AE78" s="69"/>
      <c r="AF78" s="69"/>
      <c r="AG78" s="69"/>
      <c r="AH78" s="69"/>
      <c r="AI78" s="69"/>
    </row>
    <row r="79" spans="1:35" s="54" customFormat="1" hidden="1">
      <c r="B79" s="50"/>
      <c r="C79" s="51"/>
      <c r="E79" s="55"/>
      <c r="F79" s="75" t="s">
        <v>118</v>
      </c>
      <c r="G79" s="76"/>
      <c r="L79" s="55"/>
      <c r="M79" s="77">
        <v>72893.460000000006</v>
      </c>
      <c r="N79" s="77"/>
      <c r="O79" s="70"/>
      <c r="P79" s="70"/>
      <c r="Q79" s="70"/>
      <c r="R79" s="70"/>
      <c r="S79" s="77">
        <f>34102.7+35270.25+216582.21</f>
        <v>285955.15999999997</v>
      </c>
      <c r="T79" s="77"/>
      <c r="U79" s="77">
        <v>154521.28</v>
      </c>
      <c r="V79" s="77"/>
      <c r="W79" s="69"/>
      <c r="X79" s="70"/>
      <c r="Y79" s="69"/>
      <c r="Z79" s="70"/>
      <c r="AA79" s="69"/>
      <c r="AB79" s="70"/>
      <c r="AC79" s="54" t="e">
        <f>+AC74-AC75-AC78</f>
        <v>#REF!</v>
      </c>
      <c r="AE79" s="69"/>
      <c r="AF79" s="69"/>
      <c r="AG79" s="69"/>
      <c r="AH79" s="69"/>
      <c r="AI79" s="69"/>
    </row>
    <row r="80" spans="1:35" s="54" customFormat="1" hidden="1">
      <c r="B80" s="50"/>
      <c r="C80" s="51"/>
      <c r="E80" s="55"/>
      <c r="F80" s="69"/>
      <c r="G80" s="70"/>
      <c r="L80" s="55"/>
      <c r="M80" s="54">
        <f>+M74-M75-M76+M77+M78-M79</f>
        <v>177411.28999999992</v>
      </c>
      <c r="N80" s="55"/>
      <c r="O80" s="54" t="e">
        <f>+O74-O75-O76+O77+O78-O79</f>
        <v>#REF!</v>
      </c>
      <c r="P80" s="55"/>
      <c r="Q80" s="54" t="e">
        <f>+Q74-Q75-Q76+Q77+Q78-Q79</f>
        <v>#REF!</v>
      </c>
      <c r="R80" s="55"/>
      <c r="S80" s="54" t="e">
        <f>+S74-S75-S76+S77+S78-S79</f>
        <v>#REF!</v>
      </c>
      <c r="T80" s="55"/>
      <c r="U80" s="54" t="e">
        <f>+U74-U75-U76+U77+U78-U79</f>
        <v>#REF!</v>
      </c>
      <c r="V80" s="55"/>
      <c r="X80" s="55"/>
      <c r="Z80" s="55"/>
      <c r="AB80" s="55"/>
      <c r="AC80" s="54" t="e">
        <f>+AC74-AC75-AC76+AC77+AC78-AC79</f>
        <v>#REF!</v>
      </c>
      <c r="AE80" s="69"/>
      <c r="AF80" s="69"/>
      <c r="AG80" s="69"/>
      <c r="AH80" s="69"/>
      <c r="AI80" s="69"/>
    </row>
    <row r="81" spans="1:35" s="54" customFormat="1" hidden="1">
      <c r="B81" s="50"/>
      <c r="C81" s="51"/>
      <c r="E81" s="55"/>
      <c r="F81" s="69"/>
      <c r="G81" s="70"/>
      <c r="L81" s="55"/>
      <c r="M81" s="73">
        <f>+M80*30%</f>
        <v>53223.386999999973</v>
      </c>
      <c r="N81" s="74"/>
      <c r="O81" s="73" t="e">
        <f>+O80*30%</f>
        <v>#REF!</v>
      </c>
      <c r="P81" s="74"/>
      <c r="Q81" s="73" t="e">
        <f>+Q80*30%</f>
        <v>#REF!</v>
      </c>
      <c r="R81" s="74"/>
      <c r="S81" s="73" t="e">
        <f>+S80*30%</f>
        <v>#REF!</v>
      </c>
      <c r="T81" s="74"/>
      <c r="U81" s="73" t="e">
        <f>+U80*30%</f>
        <v>#REF!</v>
      </c>
      <c r="V81" s="74"/>
      <c r="W81" s="73"/>
      <c r="X81" s="74"/>
      <c r="Y81" s="73"/>
      <c r="Z81" s="74"/>
      <c r="AA81" s="73"/>
      <c r="AB81" s="74"/>
      <c r="AC81" s="73" t="e">
        <f>+AC80*30%</f>
        <v>#REF!</v>
      </c>
      <c r="AE81" s="69"/>
      <c r="AF81" s="69"/>
      <c r="AG81" s="69"/>
      <c r="AH81" s="69"/>
      <c r="AI81" s="69"/>
    </row>
    <row r="82" spans="1:35" s="54" customFormat="1" hidden="1">
      <c r="B82" s="50"/>
      <c r="C82" s="51"/>
      <c r="E82" s="55"/>
      <c r="F82" s="69"/>
      <c r="G82" s="70"/>
      <c r="L82" s="55"/>
      <c r="M82" s="40" t="s">
        <v>4</v>
      </c>
      <c r="N82" s="61"/>
      <c r="O82" s="40"/>
      <c r="P82" s="61"/>
      <c r="Q82" s="40" t="s">
        <v>4</v>
      </c>
      <c r="R82" s="61"/>
      <c r="S82" s="40"/>
      <c r="T82" s="61"/>
      <c r="U82" s="40"/>
      <c r="V82" s="61"/>
      <c r="W82" s="40" t="s">
        <v>8</v>
      </c>
      <c r="X82" s="61"/>
      <c r="Y82" s="40"/>
      <c r="Z82" s="61"/>
      <c r="AA82" s="40"/>
      <c r="AB82" s="61"/>
      <c r="AC82" s="69"/>
      <c r="AE82" s="69"/>
      <c r="AF82" s="69"/>
      <c r="AG82" s="69"/>
      <c r="AH82" s="69"/>
      <c r="AI82" s="69"/>
    </row>
    <row r="83" spans="1:35" s="54" customFormat="1" hidden="1">
      <c r="B83" s="50"/>
      <c r="C83" s="51"/>
      <c r="E83" s="55"/>
      <c r="F83" s="69"/>
      <c r="G83" s="70"/>
      <c r="L83" s="55"/>
      <c r="M83" s="40" t="s">
        <v>13</v>
      </c>
      <c r="N83" s="61"/>
      <c r="O83" s="40" t="s">
        <v>14</v>
      </c>
      <c r="P83" s="61"/>
      <c r="Q83" s="40" t="s">
        <v>15</v>
      </c>
      <c r="R83" s="61"/>
      <c r="S83" s="40" t="s">
        <v>16</v>
      </c>
      <c r="T83" s="61"/>
      <c r="U83" s="40" t="s">
        <v>17</v>
      </c>
      <c r="V83" s="61"/>
      <c r="W83" s="40" t="s">
        <v>21</v>
      </c>
      <c r="X83" s="61"/>
      <c r="Y83" s="40"/>
      <c r="Z83" s="61"/>
      <c r="AA83" s="40"/>
      <c r="AB83" s="61"/>
      <c r="AC83" s="69"/>
      <c r="AE83" s="69"/>
      <c r="AF83" s="69"/>
      <c r="AG83" s="69"/>
      <c r="AH83" s="69"/>
      <c r="AI83" s="69"/>
    </row>
    <row r="84" spans="1:35" s="54" customFormat="1" hidden="1">
      <c r="B84" s="50"/>
      <c r="C84" s="51"/>
      <c r="E84" s="55"/>
      <c r="F84" s="69" t="s">
        <v>113</v>
      </c>
      <c r="G84" s="70"/>
      <c r="L84" s="55"/>
      <c r="M84" s="73">
        <f>+M74</f>
        <v>597085.06999999995</v>
      </c>
      <c r="N84" s="74"/>
      <c r="O84" s="73" t="e">
        <f>+O74</f>
        <v>#REF!</v>
      </c>
      <c r="P84" s="74"/>
      <c r="Q84" s="73" t="e">
        <f>+Q74</f>
        <v>#REF!</v>
      </c>
      <c r="R84" s="74"/>
      <c r="S84" s="73" t="e">
        <f>+S74</f>
        <v>#REF!</v>
      </c>
      <c r="T84" s="74"/>
      <c r="U84" s="73" t="e">
        <f>+U74</f>
        <v>#REF!</v>
      </c>
      <c r="V84" s="74"/>
      <c r="W84" s="73" t="e">
        <f>+AC74</f>
        <v>#REF!</v>
      </c>
      <c r="X84" s="74"/>
      <c r="Y84" s="73"/>
      <c r="Z84" s="74"/>
      <c r="AA84" s="73"/>
      <c r="AB84" s="74"/>
      <c r="AC84" s="69"/>
      <c r="AE84" s="69"/>
      <c r="AF84" s="69"/>
      <c r="AG84" s="69"/>
      <c r="AH84" s="69"/>
      <c r="AI84" s="69"/>
    </row>
    <row r="85" spans="1:35" s="54" customFormat="1" hidden="1">
      <c r="B85" s="50"/>
      <c r="C85" s="51"/>
      <c r="E85" s="55"/>
      <c r="F85" s="54" t="s">
        <v>119</v>
      </c>
      <c r="G85" s="55"/>
      <c r="L85" s="55"/>
      <c r="M85" s="73">
        <f>-M76-M79</f>
        <v>-72893.460000000006</v>
      </c>
      <c r="N85" s="74"/>
      <c r="O85" s="69"/>
      <c r="P85" s="70"/>
      <c r="Q85" s="73">
        <f>-O76-O79</f>
        <v>-3964</v>
      </c>
      <c r="R85" s="74"/>
      <c r="S85" s="73">
        <f>-S76-S79</f>
        <v>-382995.35</v>
      </c>
      <c r="T85" s="74"/>
      <c r="U85" s="73">
        <f>-U76-U79</f>
        <v>-154521.28</v>
      </c>
      <c r="V85" s="74"/>
      <c r="W85" s="73">
        <f>-AC76</f>
        <v>-1630.94</v>
      </c>
      <c r="X85" s="74"/>
      <c r="Y85" s="73"/>
      <c r="Z85" s="74"/>
      <c r="AA85" s="73"/>
      <c r="AB85" s="74"/>
      <c r="AC85" s="69"/>
      <c r="AE85" s="69"/>
      <c r="AF85" s="69"/>
      <c r="AG85" s="69"/>
      <c r="AH85" s="69"/>
      <c r="AI85" s="69"/>
    </row>
    <row r="86" spans="1:35" s="54" customFormat="1" hidden="1">
      <c r="B86" s="50"/>
      <c r="C86" s="51"/>
      <c r="E86" s="55"/>
      <c r="F86" s="69" t="s">
        <v>120</v>
      </c>
      <c r="G86" s="70"/>
      <c r="L86" s="55"/>
      <c r="M86" s="73">
        <f t="shared" ref="M86:W86" si="17">SUM(M84:M85)</f>
        <v>524191.60999999993</v>
      </c>
      <c r="N86" s="74"/>
      <c r="O86" s="73" t="e">
        <f t="shared" si="17"/>
        <v>#REF!</v>
      </c>
      <c r="P86" s="74"/>
      <c r="Q86" s="73" t="e">
        <f t="shared" si="17"/>
        <v>#REF!</v>
      </c>
      <c r="R86" s="74"/>
      <c r="S86" s="73" t="e">
        <f t="shared" si="17"/>
        <v>#REF!</v>
      </c>
      <c r="T86" s="74"/>
      <c r="U86" s="73" t="e">
        <f t="shared" si="17"/>
        <v>#REF!</v>
      </c>
      <c r="V86" s="74"/>
      <c r="W86" s="73" t="e">
        <f t="shared" si="17"/>
        <v>#REF!</v>
      </c>
      <c r="X86" s="74"/>
      <c r="Y86" s="73"/>
      <c r="Z86" s="74"/>
      <c r="AA86" s="73"/>
      <c r="AB86" s="74"/>
      <c r="AC86" s="69"/>
      <c r="AE86" s="69"/>
      <c r="AF86" s="69"/>
      <c r="AG86" s="69"/>
      <c r="AH86" s="69"/>
      <c r="AI86" s="69"/>
    </row>
    <row r="87" spans="1:35" s="54" customFormat="1" hidden="1">
      <c r="B87" s="50"/>
      <c r="C87" s="51"/>
      <c r="E87" s="55"/>
      <c r="F87" s="69" t="s">
        <v>114</v>
      </c>
      <c r="G87" s="70"/>
      <c r="L87" s="55"/>
      <c r="M87" s="73">
        <f>+M75</f>
        <v>346805.32</v>
      </c>
      <c r="N87" s="74"/>
      <c r="O87" s="73" t="e">
        <f>+O75</f>
        <v>#REF!</v>
      </c>
      <c r="P87" s="74"/>
      <c r="Q87" s="73" t="e">
        <f>+Q75</f>
        <v>#REF!</v>
      </c>
      <c r="R87" s="74"/>
      <c r="S87" s="73" t="e">
        <f>+S75</f>
        <v>#REF!</v>
      </c>
      <c r="T87" s="74"/>
      <c r="U87" s="73" t="e">
        <f>+U75</f>
        <v>#REF!</v>
      </c>
      <c r="V87" s="74"/>
      <c r="W87" s="73" t="e">
        <f>+AC75</f>
        <v>#REF!</v>
      </c>
      <c r="X87" s="74"/>
      <c r="Y87" s="73"/>
      <c r="Z87" s="74"/>
      <c r="AA87" s="73"/>
      <c r="AB87" s="74"/>
      <c r="AC87" s="69"/>
      <c r="AE87" s="69"/>
      <c r="AF87" s="69"/>
      <c r="AG87" s="69"/>
      <c r="AH87" s="69"/>
      <c r="AI87" s="69"/>
    </row>
    <row r="88" spans="1:35" s="54" customFormat="1" hidden="1">
      <c r="B88" s="50"/>
      <c r="C88" s="51"/>
      <c r="E88" s="55"/>
      <c r="F88" s="54" t="s">
        <v>121</v>
      </c>
      <c r="G88" s="55"/>
      <c r="L88" s="55"/>
      <c r="M88" s="73">
        <v>-25</v>
      </c>
      <c r="N88" s="74"/>
      <c r="O88" s="73">
        <f>-O77-O78</f>
        <v>0</v>
      </c>
      <c r="P88" s="74"/>
      <c r="Q88" s="73">
        <f>-Q77-Q78</f>
        <v>0</v>
      </c>
      <c r="R88" s="74"/>
      <c r="S88" s="73">
        <f>-S77-S78</f>
        <v>-298161.27</v>
      </c>
      <c r="T88" s="74"/>
      <c r="U88" s="73">
        <f>-U77-U78</f>
        <v>-60025</v>
      </c>
      <c r="V88" s="74"/>
      <c r="W88" s="73">
        <f>-AC77-AC78</f>
        <v>-25</v>
      </c>
      <c r="X88" s="74"/>
      <c r="Y88" s="73"/>
      <c r="Z88" s="74"/>
      <c r="AA88" s="73"/>
      <c r="AB88" s="74"/>
      <c r="AC88" s="69"/>
      <c r="AE88" s="69"/>
      <c r="AF88" s="69"/>
      <c r="AG88" s="69"/>
      <c r="AH88" s="69"/>
      <c r="AI88" s="69"/>
    </row>
    <row r="89" spans="1:35" s="54" customFormat="1" hidden="1">
      <c r="B89" s="50"/>
      <c r="C89" s="51"/>
      <c r="E89" s="55"/>
      <c r="F89" s="69" t="s">
        <v>122</v>
      </c>
      <c r="G89" s="70"/>
      <c r="L89" s="55"/>
      <c r="M89" s="73">
        <f t="shared" ref="M89:W89" si="18">SUM(M87:M88)</f>
        <v>346780.32</v>
      </c>
      <c r="N89" s="74"/>
      <c r="O89" s="73" t="e">
        <f t="shared" si="18"/>
        <v>#REF!</v>
      </c>
      <c r="P89" s="74"/>
      <c r="Q89" s="73" t="e">
        <f t="shared" si="18"/>
        <v>#REF!</v>
      </c>
      <c r="R89" s="74"/>
      <c r="S89" s="73" t="e">
        <f t="shared" si="18"/>
        <v>#REF!</v>
      </c>
      <c r="T89" s="74"/>
      <c r="U89" s="73" t="e">
        <f t="shared" si="18"/>
        <v>#REF!</v>
      </c>
      <c r="V89" s="74"/>
      <c r="W89" s="73" t="e">
        <f t="shared" si="18"/>
        <v>#REF!</v>
      </c>
      <c r="X89" s="74"/>
      <c r="Y89" s="73"/>
      <c r="Z89" s="74"/>
      <c r="AA89" s="73"/>
      <c r="AB89" s="74"/>
      <c r="AC89" s="69"/>
      <c r="AE89" s="69"/>
      <c r="AF89" s="69"/>
      <c r="AG89" s="69"/>
      <c r="AH89" s="69"/>
      <c r="AI89" s="69"/>
    </row>
    <row r="90" spans="1:35" s="54" customFormat="1" hidden="1">
      <c r="B90" s="50"/>
      <c r="C90" s="51"/>
      <c r="E90" s="55"/>
      <c r="F90" s="69" t="s">
        <v>123</v>
      </c>
      <c r="G90" s="70"/>
      <c r="L90" s="55"/>
      <c r="M90" s="73">
        <f t="shared" ref="M90:W90" si="19">+M86-M89</f>
        <v>177411.28999999992</v>
      </c>
      <c r="N90" s="74"/>
      <c r="O90" s="73" t="e">
        <f t="shared" si="19"/>
        <v>#REF!</v>
      </c>
      <c r="P90" s="74"/>
      <c r="Q90" s="73" t="e">
        <f t="shared" si="19"/>
        <v>#REF!</v>
      </c>
      <c r="R90" s="74"/>
      <c r="S90" s="73" t="e">
        <f t="shared" si="19"/>
        <v>#REF!</v>
      </c>
      <c r="T90" s="74"/>
      <c r="U90" s="73" t="e">
        <f t="shared" si="19"/>
        <v>#REF!</v>
      </c>
      <c r="V90" s="74"/>
      <c r="W90" s="73" t="e">
        <f t="shared" si="19"/>
        <v>#REF!</v>
      </c>
      <c r="X90" s="74"/>
      <c r="Y90" s="73"/>
      <c r="Z90" s="74"/>
      <c r="AA90" s="73"/>
      <c r="AB90" s="74"/>
      <c r="AC90" s="69"/>
      <c r="AE90" s="69"/>
      <c r="AF90" s="69"/>
      <c r="AG90" s="69"/>
      <c r="AH90" s="69"/>
      <c r="AI90" s="69"/>
    </row>
    <row r="91" spans="1:35" s="54" customFormat="1" hidden="1">
      <c r="B91" s="50"/>
      <c r="C91" s="51"/>
      <c r="E91" s="55"/>
      <c r="F91" s="69"/>
      <c r="G91" s="70"/>
      <c r="L91" s="55"/>
      <c r="M91" s="73">
        <f t="shared" ref="M91:W91" si="20">+M90*30%</f>
        <v>53223.386999999973</v>
      </c>
      <c r="N91" s="74"/>
      <c r="O91" s="73" t="e">
        <f t="shared" si="20"/>
        <v>#REF!</v>
      </c>
      <c r="P91" s="74"/>
      <c r="Q91" s="73" t="e">
        <f t="shared" si="20"/>
        <v>#REF!</v>
      </c>
      <c r="R91" s="74"/>
      <c r="S91" s="73" t="e">
        <f t="shared" si="20"/>
        <v>#REF!</v>
      </c>
      <c r="T91" s="74"/>
      <c r="U91" s="73" t="e">
        <f t="shared" si="20"/>
        <v>#REF!</v>
      </c>
      <c r="V91" s="74"/>
      <c r="W91" s="73" t="e">
        <f t="shared" si="20"/>
        <v>#REF!</v>
      </c>
      <c r="X91" s="74"/>
      <c r="Y91" s="73"/>
      <c r="Z91" s="74"/>
      <c r="AA91" s="73"/>
      <c r="AB91" s="74"/>
      <c r="AC91" s="69"/>
      <c r="AE91" s="69"/>
      <c r="AF91" s="69"/>
      <c r="AG91" s="69"/>
      <c r="AH91" s="69"/>
      <c r="AI91" s="69"/>
    </row>
    <row r="92" spans="1:35" s="54" customFormat="1" hidden="1">
      <c r="A92" s="54" t="s">
        <v>124</v>
      </c>
      <c r="B92" s="51">
        <v>140587.97</v>
      </c>
      <c r="C92" s="51"/>
      <c r="E92" s="55"/>
      <c r="F92" s="75"/>
      <c r="G92" s="76"/>
      <c r="L92" s="55"/>
      <c r="N92" s="55"/>
      <c r="P92" s="55"/>
      <c r="R92" s="55"/>
      <c r="T92" s="55"/>
      <c r="V92" s="55"/>
      <c r="X92" s="55"/>
      <c r="Z92" s="55"/>
      <c r="AB92" s="55"/>
      <c r="AE92" s="69"/>
      <c r="AF92" s="69"/>
      <c r="AG92" s="69"/>
      <c r="AH92" s="69"/>
      <c r="AI92" s="69"/>
    </row>
    <row r="93" spans="1:35" s="54" customFormat="1" hidden="1">
      <c r="A93" s="54" t="s">
        <v>125</v>
      </c>
      <c r="B93" s="51">
        <f>6474.93+2655.63+43565.2+43929.28</f>
        <v>96625.04</v>
      </c>
      <c r="C93" s="51"/>
      <c r="E93" s="55"/>
      <c r="F93" s="75"/>
      <c r="G93" s="76"/>
      <c r="L93" s="55"/>
      <c r="N93" s="55"/>
      <c r="O93" s="69"/>
      <c r="P93" s="70"/>
      <c r="Q93" s="69"/>
      <c r="R93" s="70"/>
      <c r="S93" s="69"/>
      <c r="T93" s="70"/>
      <c r="U93" s="69"/>
      <c r="V93" s="70"/>
      <c r="W93" s="69"/>
      <c r="X93" s="70"/>
      <c r="Y93" s="69"/>
      <c r="Z93" s="70"/>
      <c r="AA93" s="69"/>
      <c r="AB93" s="70"/>
      <c r="AC93" s="69"/>
      <c r="AE93" s="69"/>
      <c r="AF93" s="69"/>
      <c r="AG93" s="69"/>
      <c r="AH93" s="69"/>
      <c r="AI93" s="69"/>
    </row>
    <row r="94" spans="1:35" s="54" customFormat="1" hidden="1">
      <c r="B94" s="51">
        <f>SUM(B92:B93)</f>
        <v>237213.01</v>
      </c>
      <c r="C94" s="51"/>
      <c r="E94" s="55"/>
      <c r="F94" s="75"/>
      <c r="G94" s="76"/>
      <c r="L94" s="55"/>
      <c r="N94" s="55"/>
      <c r="O94" s="69"/>
      <c r="P94" s="70"/>
      <c r="Q94" s="69"/>
      <c r="R94" s="70"/>
      <c r="S94" s="69"/>
      <c r="T94" s="70"/>
      <c r="U94" s="69"/>
      <c r="V94" s="70"/>
      <c r="W94" s="69"/>
      <c r="X94" s="70"/>
      <c r="Y94" s="69"/>
      <c r="Z94" s="70"/>
      <c r="AA94" s="69"/>
      <c r="AB94" s="70"/>
      <c r="AC94" s="69"/>
      <c r="AE94" s="69"/>
      <c r="AF94" s="69"/>
      <c r="AG94" s="69"/>
      <c r="AH94" s="69"/>
      <c r="AI94" s="69"/>
    </row>
    <row r="95" spans="1:35" s="54" customFormat="1">
      <c r="B95" s="51"/>
      <c r="C95" s="51"/>
      <c r="E95" s="55"/>
      <c r="F95" s="75"/>
      <c r="G95" s="76"/>
      <c r="L95" s="55"/>
      <c r="N95" s="55"/>
      <c r="O95" s="69"/>
      <c r="P95" s="70"/>
      <c r="Q95" s="69"/>
      <c r="R95" s="70"/>
      <c r="S95" s="69"/>
      <c r="T95" s="70"/>
      <c r="U95" s="69"/>
      <c r="V95" s="70"/>
      <c r="W95" s="69"/>
      <c r="X95" s="70"/>
      <c r="Y95" s="69"/>
      <c r="Z95" s="70"/>
      <c r="AA95" s="69"/>
      <c r="AB95" s="70"/>
      <c r="AC95" s="69"/>
      <c r="AE95" s="69"/>
      <c r="AF95" s="69"/>
      <c r="AG95" s="69"/>
      <c r="AH95" s="69"/>
      <c r="AI95" s="69"/>
    </row>
    <row r="96" spans="1:35" s="54" customFormat="1">
      <c r="B96" s="51"/>
      <c r="C96" s="51"/>
      <c r="E96" s="55"/>
      <c r="F96" s="75"/>
      <c r="G96" s="76"/>
      <c r="L96" s="55"/>
      <c r="N96" s="55"/>
      <c r="O96" s="69"/>
      <c r="P96" s="70"/>
      <c r="Q96" s="69"/>
      <c r="R96" s="70"/>
      <c r="S96" s="69"/>
      <c r="T96" s="70"/>
      <c r="U96" s="69"/>
      <c r="V96" s="70"/>
      <c r="W96" s="69"/>
      <c r="X96" s="70"/>
      <c r="Y96" s="69"/>
      <c r="Z96" s="70"/>
      <c r="AA96" s="69"/>
      <c r="AB96" s="70"/>
      <c r="AC96" s="69"/>
      <c r="AE96" s="69"/>
      <c r="AF96" s="69"/>
      <c r="AG96" s="69"/>
      <c r="AH96" s="69"/>
      <c r="AI96" s="69"/>
    </row>
    <row r="97" spans="1:35" s="54" customFormat="1">
      <c r="B97" s="51"/>
      <c r="C97" s="51"/>
      <c r="E97" s="55"/>
      <c r="F97" s="75"/>
      <c r="G97" s="76"/>
      <c r="L97" s="55"/>
      <c r="N97" s="55"/>
      <c r="O97" s="69"/>
      <c r="P97" s="70"/>
      <c r="Q97" s="69"/>
      <c r="R97" s="70"/>
      <c r="S97" s="69"/>
      <c r="T97" s="70"/>
      <c r="U97" s="69"/>
      <c r="V97" s="70"/>
      <c r="W97" s="69"/>
      <c r="X97" s="70"/>
      <c r="Y97" s="69"/>
      <c r="Z97" s="70"/>
      <c r="AA97" s="69"/>
      <c r="AB97" s="70"/>
      <c r="AC97" s="69"/>
      <c r="AE97" s="69"/>
      <c r="AF97" s="69"/>
      <c r="AG97" s="69"/>
      <c r="AH97" s="69"/>
      <c r="AI97" s="69"/>
    </row>
    <row r="98" spans="1:35" s="54" customFormat="1">
      <c r="B98" s="50"/>
      <c r="C98" s="51"/>
      <c r="E98" s="55"/>
      <c r="F98" s="69"/>
      <c r="G98" s="70"/>
      <c r="L98" s="55"/>
      <c r="N98" s="55"/>
      <c r="O98" s="69"/>
      <c r="P98" s="70"/>
      <c r="Q98" s="69"/>
      <c r="R98" s="70"/>
      <c r="S98" s="69"/>
      <c r="T98" s="70"/>
      <c r="U98" s="69"/>
      <c r="V98" s="70"/>
      <c r="W98" s="69"/>
      <c r="X98" s="70"/>
      <c r="Y98" s="69"/>
      <c r="Z98" s="70"/>
      <c r="AA98" s="69"/>
      <c r="AB98" s="70"/>
      <c r="AC98" s="69"/>
      <c r="AE98" s="69"/>
      <c r="AF98" s="69"/>
      <c r="AG98" s="69"/>
      <c r="AH98" s="69"/>
      <c r="AI98" s="69"/>
    </row>
    <row r="99" spans="1:35" s="54" customFormat="1">
      <c r="B99" s="50"/>
      <c r="C99" s="51"/>
      <c r="E99" s="55"/>
      <c r="F99" s="69"/>
      <c r="G99" s="70"/>
      <c r="L99" s="55"/>
      <c r="N99" s="55"/>
      <c r="O99" s="69"/>
      <c r="P99" s="70"/>
      <c r="Q99" s="69"/>
      <c r="R99" s="70"/>
      <c r="S99" s="69"/>
      <c r="T99" s="70"/>
      <c r="U99" s="69"/>
      <c r="V99" s="70"/>
      <c r="W99" s="69"/>
      <c r="X99" s="70"/>
      <c r="Y99" s="69"/>
      <c r="Z99" s="70"/>
      <c r="AA99" s="69"/>
      <c r="AB99" s="70"/>
      <c r="AC99" s="69"/>
      <c r="AE99" s="69"/>
      <c r="AF99" s="69"/>
      <c r="AG99" s="69"/>
      <c r="AH99" s="69"/>
      <c r="AI99" s="69"/>
    </row>
    <row r="100" spans="1:35" s="54" customFormat="1">
      <c r="A100" s="89" t="s">
        <v>165</v>
      </c>
      <c r="B100" s="50"/>
      <c r="C100" s="51"/>
      <c r="E100" s="55"/>
      <c r="F100" s="69"/>
      <c r="G100" s="70"/>
      <c r="L100" s="55"/>
      <c r="N100" s="55"/>
      <c r="O100" s="69"/>
      <c r="P100" s="70"/>
      <c r="Q100" s="69"/>
      <c r="R100" s="70"/>
      <c r="S100" s="69"/>
      <c r="T100" s="70"/>
      <c r="U100" s="69"/>
      <c r="V100" s="70"/>
      <c r="W100" s="69"/>
      <c r="X100" s="70"/>
      <c r="Y100" s="69"/>
      <c r="Z100" s="70"/>
      <c r="AA100" s="69"/>
      <c r="AB100" s="70"/>
      <c r="AC100" s="69"/>
      <c r="AE100" s="69"/>
      <c r="AF100" s="69"/>
      <c r="AG100" s="69"/>
      <c r="AH100" s="69"/>
      <c r="AI100" s="69"/>
    </row>
    <row r="101" spans="1:35" s="54" customFormat="1">
      <c r="B101" s="50"/>
      <c r="C101" s="51"/>
      <c r="E101" s="55"/>
      <c r="F101" s="69"/>
      <c r="G101" s="70"/>
      <c r="L101" s="55"/>
      <c r="N101" s="55"/>
      <c r="O101" s="69"/>
      <c r="P101" s="70"/>
      <c r="Q101" s="69"/>
      <c r="R101" s="70"/>
      <c r="S101" s="69"/>
      <c r="T101" s="70"/>
      <c r="U101" s="69"/>
      <c r="V101" s="70"/>
      <c r="W101" s="69"/>
      <c r="X101" s="70"/>
      <c r="Y101" s="69"/>
      <c r="Z101" s="70"/>
      <c r="AA101" s="69"/>
      <c r="AB101" s="70"/>
      <c r="AC101" s="69"/>
      <c r="AE101" s="69"/>
      <c r="AF101" s="69"/>
      <c r="AG101" s="69"/>
      <c r="AH101" s="69"/>
      <c r="AI101" s="69"/>
    </row>
    <row r="102" spans="1:35" s="54" customFormat="1">
      <c r="B102" s="50"/>
      <c r="C102" s="51"/>
      <c r="E102" s="55"/>
      <c r="F102" s="69"/>
      <c r="G102" s="70"/>
      <c r="L102" s="55"/>
      <c r="N102" s="55"/>
      <c r="O102" s="69"/>
      <c r="P102" s="70"/>
      <c r="Q102" s="69"/>
      <c r="R102" s="70"/>
      <c r="S102" s="69"/>
      <c r="T102" s="70"/>
      <c r="U102" s="69"/>
      <c r="V102" s="70"/>
      <c r="W102" s="69"/>
      <c r="X102" s="70"/>
      <c r="Y102" s="69"/>
      <c r="Z102" s="70"/>
      <c r="AA102" s="69"/>
      <c r="AB102" s="70"/>
      <c r="AC102" s="69"/>
      <c r="AE102" s="69"/>
      <c r="AF102" s="69"/>
      <c r="AG102" s="69"/>
      <c r="AH102" s="69"/>
      <c r="AI102" s="69"/>
    </row>
    <row r="103" spans="1:35" s="54" customFormat="1">
      <c r="B103" s="50"/>
      <c r="C103" s="51"/>
      <c r="E103" s="55"/>
      <c r="F103" s="69"/>
      <c r="G103" s="70"/>
      <c r="L103" s="55"/>
      <c r="N103" s="55"/>
      <c r="O103" s="69"/>
      <c r="P103" s="70"/>
      <c r="Q103" s="69"/>
      <c r="R103" s="70"/>
      <c r="S103" s="69"/>
      <c r="T103" s="70"/>
      <c r="U103" s="69"/>
      <c r="V103" s="70"/>
      <c r="W103" s="69"/>
      <c r="X103" s="70"/>
      <c r="Y103" s="69"/>
      <c r="Z103" s="70"/>
      <c r="AA103" s="69"/>
      <c r="AB103" s="70"/>
      <c r="AC103" s="69"/>
      <c r="AE103" s="69"/>
      <c r="AF103" s="69"/>
      <c r="AG103" s="69"/>
      <c r="AH103" s="69"/>
      <c r="AI103" s="69"/>
    </row>
    <row r="104" spans="1:35" s="54" customFormat="1">
      <c r="B104" s="50"/>
      <c r="C104" s="51"/>
      <c r="E104" s="55"/>
      <c r="F104" s="69"/>
      <c r="G104" s="70"/>
      <c r="L104" s="55"/>
      <c r="N104" s="55"/>
      <c r="O104" s="69"/>
      <c r="P104" s="70"/>
      <c r="Q104" s="69"/>
      <c r="R104" s="70"/>
      <c r="S104" s="69"/>
      <c r="T104" s="70"/>
      <c r="U104" s="69"/>
      <c r="V104" s="70"/>
      <c r="W104" s="69"/>
      <c r="X104" s="70"/>
      <c r="Y104" s="69"/>
      <c r="Z104" s="70"/>
      <c r="AA104" s="69"/>
      <c r="AB104" s="70"/>
      <c r="AC104" s="69"/>
      <c r="AE104" s="69"/>
      <c r="AF104" s="69"/>
      <c r="AG104" s="69"/>
      <c r="AH104" s="69"/>
      <c r="AI104" s="69"/>
    </row>
    <row r="105" spans="1:35" s="54" customFormat="1">
      <c r="B105" s="50"/>
      <c r="C105" s="51"/>
      <c r="E105" s="55"/>
      <c r="F105" s="69"/>
      <c r="G105" s="70"/>
      <c r="L105" s="55"/>
      <c r="N105" s="55"/>
      <c r="O105" s="69"/>
      <c r="P105" s="70"/>
      <c r="Q105" s="69"/>
      <c r="R105" s="70"/>
      <c r="S105" s="69"/>
      <c r="T105" s="70"/>
      <c r="U105" s="69"/>
      <c r="V105" s="70"/>
      <c r="W105" s="69"/>
      <c r="X105" s="70"/>
      <c r="Y105" s="69"/>
      <c r="Z105" s="70"/>
      <c r="AA105" s="69"/>
      <c r="AB105" s="70"/>
      <c r="AC105" s="69"/>
      <c r="AE105" s="69"/>
      <c r="AF105" s="69"/>
      <c r="AG105" s="69"/>
      <c r="AH105" s="69"/>
      <c r="AI105" s="69"/>
    </row>
    <row r="106" spans="1:35" s="54" customFormat="1">
      <c r="B106" s="50"/>
      <c r="C106" s="51"/>
      <c r="E106" s="55"/>
      <c r="F106" s="69"/>
      <c r="G106" s="70"/>
      <c r="L106" s="55"/>
      <c r="N106" s="55"/>
      <c r="O106" s="69"/>
      <c r="P106" s="70"/>
      <c r="Q106" s="69"/>
      <c r="R106" s="70"/>
      <c r="S106" s="69"/>
      <c r="T106" s="70"/>
      <c r="U106" s="69"/>
      <c r="V106" s="70"/>
      <c r="W106" s="69"/>
      <c r="X106" s="70"/>
      <c r="Y106" s="69"/>
      <c r="Z106" s="70"/>
      <c r="AA106" s="69"/>
      <c r="AB106" s="70"/>
      <c r="AC106" s="69"/>
      <c r="AE106" s="69"/>
      <c r="AF106" s="69"/>
      <c r="AG106" s="69"/>
      <c r="AH106" s="69"/>
      <c r="AI106" s="69"/>
    </row>
    <row r="107" spans="1:35" s="54" customFormat="1">
      <c r="B107" s="50"/>
      <c r="C107" s="51"/>
      <c r="E107" s="55"/>
      <c r="F107" s="69"/>
      <c r="G107" s="70"/>
      <c r="L107" s="55"/>
      <c r="N107" s="55"/>
      <c r="O107" s="69"/>
      <c r="P107" s="70"/>
      <c r="Q107" s="69"/>
      <c r="R107" s="70"/>
      <c r="S107" s="69"/>
      <c r="T107" s="70"/>
      <c r="U107" s="69"/>
      <c r="V107" s="70"/>
      <c r="W107" s="69"/>
      <c r="X107" s="70"/>
      <c r="Y107" s="69"/>
      <c r="Z107" s="70"/>
      <c r="AA107" s="69"/>
      <c r="AB107" s="70"/>
      <c r="AC107" s="69"/>
      <c r="AE107" s="69"/>
      <c r="AF107" s="69"/>
      <c r="AG107" s="69"/>
      <c r="AH107" s="69"/>
      <c r="AI107" s="69"/>
    </row>
    <row r="108" spans="1:35" s="54" customFormat="1">
      <c r="B108" s="50"/>
      <c r="C108" s="51"/>
      <c r="E108" s="55"/>
      <c r="F108" s="69"/>
      <c r="G108" s="70"/>
      <c r="L108" s="55"/>
      <c r="N108" s="55"/>
      <c r="O108" s="69"/>
      <c r="P108" s="70"/>
      <c r="Q108" s="69"/>
      <c r="R108" s="70"/>
      <c r="S108" s="69"/>
      <c r="T108" s="70"/>
      <c r="U108" s="69"/>
      <c r="V108" s="70"/>
      <c r="W108" s="69"/>
      <c r="X108" s="70"/>
      <c r="Y108" s="69"/>
      <c r="Z108" s="70"/>
      <c r="AA108" s="69"/>
      <c r="AB108" s="70"/>
      <c r="AC108" s="69"/>
      <c r="AE108" s="69"/>
      <c r="AF108" s="69"/>
      <c r="AG108" s="69"/>
      <c r="AH108" s="69"/>
      <c r="AI108" s="69"/>
    </row>
    <row r="109" spans="1:35" s="54" customFormat="1">
      <c r="B109" s="50"/>
      <c r="C109" s="51"/>
      <c r="E109" s="55"/>
      <c r="F109" s="69"/>
      <c r="G109" s="70"/>
      <c r="L109" s="55"/>
      <c r="N109" s="55"/>
      <c r="O109" s="69"/>
      <c r="P109" s="70"/>
      <c r="Q109" s="69"/>
      <c r="R109" s="70"/>
      <c r="S109" s="69"/>
      <c r="T109" s="70"/>
      <c r="U109" s="69"/>
      <c r="V109" s="70"/>
      <c r="W109" s="69"/>
      <c r="X109" s="70"/>
      <c r="Y109" s="69"/>
      <c r="Z109" s="70"/>
      <c r="AA109" s="69"/>
      <c r="AB109" s="70"/>
      <c r="AC109" s="69"/>
      <c r="AE109" s="69"/>
      <c r="AF109" s="69"/>
      <c r="AG109" s="69"/>
      <c r="AH109" s="69"/>
      <c r="AI109" s="69"/>
    </row>
    <row r="110" spans="1:35" s="54" customFormat="1">
      <c r="B110" s="50"/>
      <c r="C110" s="51"/>
      <c r="E110" s="55"/>
      <c r="F110" s="69"/>
      <c r="G110" s="70"/>
      <c r="L110" s="55"/>
      <c r="N110" s="55"/>
      <c r="O110" s="69"/>
      <c r="P110" s="70"/>
      <c r="Q110" s="69"/>
      <c r="R110" s="70"/>
      <c r="S110" s="69"/>
      <c r="T110" s="70"/>
      <c r="U110" s="69"/>
      <c r="V110" s="70"/>
      <c r="W110" s="69"/>
      <c r="X110" s="70"/>
      <c r="Y110" s="69"/>
      <c r="Z110" s="70"/>
      <c r="AA110" s="69"/>
      <c r="AB110" s="70"/>
      <c r="AC110" s="69"/>
      <c r="AE110" s="69"/>
      <c r="AF110" s="69"/>
      <c r="AG110" s="69"/>
      <c r="AH110" s="69"/>
      <c r="AI110" s="69"/>
    </row>
    <row r="111" spans="1:35" s="54" customFormat="1">
      <c r="B111" s="50"/>
      <c r="C111" s="51"/>
      <c r="E111" s="55"/>
      <c r="F111" s="69"/>
      <c r="G111" s="70"/>
      <c r="L111" s="55"/>
      <c r="N111" s="55"/>
      <c r="O111" s="69"/>
      <c r="P111" s="70"/>
      <c r="Q111" s="69"/>
      <c r="R111" s="70"/>
      <c r="S111" s="69"/>
      <c r="T111" s="70"/>
      <c r="U111" s="69"/>
      <c r="V111" s="70"/>
      <c r="W111" s="69"/>
      <c r="X111" s="70"/>
      <c r="Y111" s="69"/>
      <c r="Z111" s="70"/>
      <c r="AA111" s="69"/>
      <c r="AB111" s="70"/>
      <c r="AC111" s="69"/>
      <c r="AE111" s="69"/>
      <c r="AF111" s="69"/>
      <c r="AG111" s="69"/>
      <c r="AH111" s="69"/>
      <c r="AI111" s="69"/>
    </row>
    <row r="112" spans="1:35" s="54" customFormat="1">
      <c r="B112" s="50"/>
      <c r="C112" s="51"/>
      <c r="E112" s="55"/>
      <c r="F112" s="69"/>
      <c r="G112" s="70"/>
      <c r="L112" s="55"/>
      <c r="N112" s="55"/>
      <c r="O112" s="69"/>
      <c r="P112" s="70"/>
      <c r="Q112" s="69"/>
      <c r="R112" s="70"/>
      <c r="S112" s="69"/>
      <c r="T112" s="70"/>
      <c r="U112" s="69"/>
      <c r="V112" s="70"/>
      <c r="W112" s="69"/>
      <c r="X112" s="70"/>
      <c r="Y112" s="69"/>
      <c r="Z112" s="70"/>
      <c r="AA112" s="69"/>
      <c r="AB112" s="70"/>
      <c r="AC112" s="69"/>
      <c r="AE112" s="69"/>
      <c r="AF112" s="69"/>
      <c r="AG112" s="69"/>
      <c r="AH112" s="69"/>
      <c r="AI112" s="69"/>
    </row>
    <row r="113" spans="1:35" s="54" customFormat="1">
      <c r="B113" s="50"/>
      <c r="C113" s="51"/>
      <c r="E113" s="55"/>
      <c r="F113" s="69"/>
      <c r="G113" s="70"/>
      <c r="L113" s="55"/>
      <c r="N113" s="55"/>
      <c r="O113" s="69"/>
      <c r="P113" s="70"/>
      <c r="Q113" s="69"/>
      <c r="R113" s="70"/>
      <c r="S113" s="69"/>
      <c r="T113" s="70"/>
      <c r="U113" s="69"/>
      <c r="V113" s="70"/>
      <c r="W113" s="69"/>
      <c r="X113" s="70"/>
      <c r="Y113" s="69"/>
      <c r="Z113" s="70"/>
      <c r="AA113" s="69"/>
      <c r="AB113" s="70"/>
      <c r="AC113" s="69"/>
      <c r="AE113" s="69"/>
      <c r="AF113" s="69"/>
      <c r="AG113" s="69"/>
      <c r="AH113" s="69"/>
      <c r="AI113" s="69"/>
    </row>
    <row r="114" spans="1:35" s="54" customFormat="1">
      <c r="B114" s="50"/>
      <c r="C114" s="51"/>
      <c r="E114" s="55"/>
      <c r="F114" s="69"/>
      <c r="G114" s="70"/>
      <c r="L114" s="55"/>
      <c r="N114" s="55"/>
      <c r="O114" s="69"/>
      <c r="P114" s="70"/>
      <c r="Q114" s="69"/>
      <c r="R114" s="70"/>
      <c r="S114" s="69"/>
      <c r="T114" s="70"/>
      <c r="U114" s="69"/>
      <c r="V114" s="70"/>
      <c r="W114" s="69"/>
      <c r="X114" s="70"/>
      <c r="Y114" s="69"/>
      <c r="Z114" s="70"/>
      <c r="AA114" s="69"/>
      <c r="AB114" s="70"/>
      <c r="AC114" s="69"/>
      <c r="AE114" s="69"/>
      <c r="AF114" s="69"/>
      <c r="AG114" s="69"/>
      <c r="AH114" s="69"/>
      <c r="AI114" s="69"/>
    </row>
    <row r="115" spans="1:35" s="54" customFormat="1" ht="13.5" thickBot="1">
      <c r="A115" s="79"/>
      <c r="B115" s="57"/>
      <c r="C115" s="57"/>
      <c r="D115" s="79"/>
      <c r="E115" s="79"/>
      <c r="F115" s="78"/>
      <c r="G115" s="78"/>
      <c r="H115" s="79"/>
      <c r="I115" s="79"/>
      <c r="J115" s="79"/>
      <c r="K115" s="79"/>
      <c r="L115" s="79"/>
      <c r="M115" s="79"/>
      <c r="N115" s="79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8"/>
      <c r="AA115" s="78"/>
      <c r="AB115" s="78"/>
      <c r="AC115" s="78"/>
      <c r="AE115" s="69"/>
      <c r="AF115" s="69"/>
      <c r="AG115" s="69"/>
      <c r="AH115" s="69"/>
      <c r="AI115" s="69"/>
    </row>
    <row r="116" spans="1:35" ht="13.5" thickTop="1"/>
  </sheetData>
  <phoneticPr fontId="0" type="noConversion"/>
  <pageMargins left="1" right="0.75" top="0.25" bottom="0.13" header="0" footer="0"/>
  <pageSetup paperSize="17" scale="75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Balance</vt:lpstr>
      <vt:lpstr>Est.Res.</vt:lpstr>
      <vt:lpstr>patrimonio </vt:lpstr>
      <vt:lpstr>flujo de Efectivo</vt:lpstr>
      <vt:lpstr>patrimonio</vt:lpstr>
      <vt:lpstr>flujo</vt:lpstr>
      <vt:lpstr>Activo</vt:lpstr>
      <vt:lpstr>Pasivo</vt:lpstr>
      <vt:lpstr>Utilidades</vt:lpstr>
      <vt:lpstr>Capital</vt:lpstr>
      <vt:lpstr>Balance!Print_Area</vt:lpstr>
      <vt:lpstr>Capital!Print_Area</vt:lpstr>
      <vt:lpstr>Est.Res.!Print_Area</vt:lpstr>
      <vt:lpstr>'flujo de Efectivo'!Print_Area</vt:lpstr>
      <vt:lpstr>'patrimonio '!Print_Area</vt:lpstr>
    </vt:vector>
  </TitlesOfParts>
  <Company>Banco Panamericano,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Ymoreno</dc:creator>
  <cp:lastModifiedBy>KPMG</cp:lastModifiedBy>
  <cp:lastPrinted>2018-02-06T15:17:38Z</cp:lastPrinted>
  <dcterms:created xsi:type="dcterms:W3CDTF">2005-01-18T16:18:54Z</dcterms:created>
  <dcterms:modified xsi:type="dcterms:W3CDTF">2018-02-06T15:17:39Z</dcterms:modified>
</cp:coreProperties>
</file>